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accserver1\Publica\REBALANCEO\RESUMEN MENSUAL\Pág WEB\REBALANCEO\Año2024\AÑO 2023 PARA SUBIR\"/>
    </mc:Choice>
  </mc:AlternateContent>
  <xr:revisionPtr revIDLastSave="0" documentId="13_ncr:1_{4B2B4B1E-3960-4C6E-8A38-B90E6F8CAA00}" xr6:coauthVersionLast="47" xr6:coauthVersionMax="47" xr10:uidLastSave="{00000000-0000-0000-0000-000000000000}"/>
  <bookViews>
    <workbookView xWindow="-120" yWindow="-120" windowWidth="20730" windowHeight="11160" tabRatio="599" activeTab="1" xr2:uid="{00000000-000D-0000-FFFF-FFFF00000000}"/>
  </bookViews>
  <sheets>
    <sheet name="REHABILITADOS" sheetId="1" r:id="rId1"/>
    <sheet name="RH MENSUAL 2023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4" l="1"/>
  <c r="C6" i="4"/>
  <c r="C12" i="3"/>
  <c r="C6" i="3"/>
  <c r="G51" i="2"/>
  <c r="G50" i="2"/>
  <c r="AW46" i="2"/>
  <c r="AV46" i="2"/>
  <c r="AM8" i="2"/>
  <c r="AM46" i="2" s="1"/>
  <c r="AV52" i="2"/>
  <c r="AV45" i="2"/>
  <c r="AV9" i="2"/>
  <c r="AV8" i="2"/>
  <c r="AY50" i="2"/>
  <c r="AY51" i="2"/>
  <c r="AX51" i="2"/>
  <c r="AX50" i="2"/>
  <c r="AX52" i="2" s="1"/>
  <c r="AW52" i="2"/>
  <c r="AY10" i="2"/>
  <c r="AY11" i="2"/>
  <c r="AY12" i="2"/>
  <c r="BA12" i="2" s="1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Z9" i="2"/>
  <c r="AZ10" i="2"/>
  <c r="AZ11" i="2"/>
  <c r="AZ12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8" i="2"/>
  <c r="AX43" i="2"/>
  <c r="AX44" i="2"/>
  <c r="AX33" i="2"/>
  <c r="AX34" i="2"/>
  <c r="AX35" i="2"/>
  <c r="AX36" i="2"/>
  <c r="AX37" i="2"/>
  <c r="AX38" i="2"/>
  <c r="AX39" i="2"/>
  <c r="AX40" i="2"/>
  <c r="AX41" i="2"/>
  <c r="AX42" i="2"/>
  <c r="AX25" i="2"/>
  <c r="AX26" i="2"/>
  <c r="AX27" i="2"/>
  <c r="AX28" i="2"/>
  <c r="AX29" i="2"/>
  <c r="AX30" i="2"/>
  <c r="AX31" i="2"/>
  <c r="AX32" i="2"/>
  <c r="AX18" i="2"/>
  <c r="AX19" i="2"/>
  <c r="AX20" i="2"/>
  <c r="AX21" i="2"/>
  <c r="AX22" i="2"/>
  <c r="AX23" i="2"/>
  <c r="AX24" i="2"/>
  <c r="AX9" i="2"/>
  <c r="AX10" i="2"/>
  <c r="AX11" i="2"/>
  <c r="AX12" i="2"/>
  <c r="AX13" i="2"/>
  <c r="AX14" i="2"/>
  <c r="AX15" i="2"/>
  <c r="AX16" i="2"/>
  <c r="AX17" i="2"/>
  <c r="AX8" i="2"/>
  <c r="AX46" i="2" s="1"/>
  <c r="C22" i="3"/>
  <c r="C41" i="3"/>
  <c r="C7" i="3"/>
  <c r="AS8" i="2"/>
  <c r="AS46" i="2" s="1"/>
  <c r="AZ50" i="2"/>
  <c r="AT52" i="2"/>
  <c r="AS52" i="2"/>
  <c r="AU51" i="2"/>
  <c r="AU50" i="2"/>
  <c r="AT46" i="2"/>
  <c r="AU44" i="2"/>
  <c r="AU43" i="2"/>
  <c r="AU42" i="2"/>
  <c r="AU41" i="2"/>
  <c r="AU40" i="2"/>
  <c r="AU39" i="2"/>
  <c r="AU38" i="2"/>
  <c r="AU37" i="2"/>
  <c r="AU36" i="2"/>
  <c r="AU35" i="2"/>
  <c r="AU34" i="2"/>
  <c r="AU33" i="2"/>
  <c r="AU32" i="2"/>
  <c r="AU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U18" i="2"/>
  <c r="AU17" i="2"/>
  <c r="AU16" i="2"/>
  <c r="AU15" i="2"/>
  <c r="AU14" i="2"/>
  <c r="AU13" i="2"/>
  <c r="AU12" i="2"/>
  <c r="AU11" i="2"/>
  <c r="AU10" i="2"/>
  <c r="AU9" i="2"/>
  <c r="AP8" i="2"/>
  <c r="AP46" i="2" s="1"/>
  <c r="AR51" i="2"/>
  <c r="AR50" i="2"/>
  <c r="AR52" i="2" s="1"/>
  <c r="AQ52" i="2"/>
  <c r="AP52" i="2"/>
  <c r="AQ46" i="2"/>
  <c r="C32" i="3"/>
  <c r="AO51" i="2"/>
  <c r="AO50" i="2"/>
  <c r="AO52" i="2" s="1"/>
  <c r="AN52" i="2"/>
  <c r="AM52" i="2"/>
  <c r="AN46" i="2"/>
  <c r="AO40" i="2"/>
  <c r="AO41" i="2"/>
  <c r="AO42" i="2"/>
  <c r="AO43" i="2"/>
  <c r="AO44" i="2"/>
  <c r="AO33" i="2"/>
  <c r="AO34" i="2"/>
  <c r="AO35" i="2"/>
  <c r="AO36" i="2"/>
  <c r="AO37" i="2"/>
  <c r="AO38" i="2"/>
  <c r="AO39" i="2"/>
  <c r="AO25" i="2"/>
  <c r="AO26" i="2"/>
  <c r="AO27" i="2"/>
  <c r="AO28" i="2"/>
  <c r="AO29" i="2"/>
  <c r="AO30" i="2"/>
  <c r="AO31" i="2"/>
  <c r="AO32" i="2"/>
  <c r="AO19" i="2"/>
  <c r="AO20" i="2"/>
  <c r="AO21" i="2"/>
  <c r="AO22" i="2"/>
  <c r="AO23" i="2"/>
  <c r="AO24" i="2"/>
  <c r="AO9" i="2"/>
  <c r="AO10" i="2"/>
  <c r="AO11" i="2"/>
  <c r="AO12" i="2"/>
  <c r="AO13" i="2"/>
  <c r="AO14" i="2"/>
  <c r="AO15" i="2"/>
  <c r="AO16" i="2"/>
  <c r="AO17" i="2"/>
  <c r="AO18" i="2"/>
  <c r="AO8" i="2"/>
  <c r="AL10" i="2"/>
  <c r="AL11" i="2"/>
  <c r="K44" i="3"/>
  <c r="E44" i="3"/>
  <c r="Q11" i="2"/>
  <c r="T11" i="2"/>
  <c r="W11" i="2"/>
  <c r="Z11" i="2"/>
  <c r="AC11" i="2"/>
  <c r="AF11" i="2"/>
  <c r="AI11" i="2"/>
  <c r="L9" i="2"/>
  <c r="J11" i="2"/>
  <c r="AJ8" i="2"/>
  <c r="AJ46" i="2" s="1"/>
  <c r="AG45" i="2"/>
  <c r="AL51" i="2"/>
  <c r="AL50" i="2"/>
  <c r="AL52" i="2" s="1"/>
  <c r="AK52" i="2"/>
  <c r="AJ52" i="2"/>
  <c r="AL9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8" i="2"/>
  <c r="AK46" i="2"/>
  <c r="AO46" i="2" l="1"/>
  <c r="AU52" i="2"/>
  <c r="AU8" i="2"/>
  <c r="AU46" i="2" s="1"/>
  <c r="I9" i="4"/>
  <c r="J9" i="3"/>
  <c r="L9" i="3" s="1"/>
  <c r="G11" i="2"/>
  <c r="BA11" i="2"/>
  <c r="AL46" i="2"/>
  <c r="AZ51" i="2"/>
  <c r="BA51" i="2" s="1"/>
  <c r="AI51" i="2"/>
  <c r="AI50" i="2"/>
  <c r="AH52" i="2"/>
  <c r="AG52" i="2"/>
  <c r="AH46" i="2"/>
  <c r="AG46" i="2"/>
  <c r="BA39" i="2"/>
  <c r="BA40" i="2"/>
  <c r="BA41" i="2"/>
  <c r="BA42" i="2"/>
  <c r="BA43" i="2"/>
  <c r="BA44" i="2"/>
  <c r="BA34" i="2"/>
  <c r="BA35" i="2"/>
  <c r="BA36" i="2"/>
  <c r="BA37" i="2"/>
  <c r="BA38" i="2"/>
  <c r="BA27" i="2"/>
  <c r="BA28" i="2"/>
  <c r="BA29" i="2"/>
  <c r="BA30" i="2"/>
  <c r="BA31" i="2"/>
  <c r="BA32" i="2"/>
  <c r="BA33" i="2"/>
  <c r="BA18" i="2"/>
  <c r="BA19" i="2"/>
  <c r="BA20" i="2"/>
  <c r="BA21" i="2"/>
  <c r="BA22" i="2"/>
  <c r="BA23" i="2"/>
  <c r="BA24" i="2"/>
  <c r="BA25" i="2"/>
  <c r="BA26" i="2"/>
  <c r="BA10" i="2"/>
  <c r="BA14" i="2"/>
  <c r="BA15" i="2"/>
  <c r="BA16" i="2"/>
  <c r="BA17" i="2"/>
  <c r="AI36" i="2"/>
  <c r="AI37" i="2"/>
  <c r="AI38" i="2"/>
  <c r="AI39" i="2"/>
  <c r="AI40" i="2"/>
  <c r="AI41" i="2"/>
  <c r="AI42" i="2"/>
  <c r="AI43" i="2"/>
  <c r="AI44" i="2"/>
  <c r="AI26" i="2"/>
  <c r="AI27" i="2"/>
  <c r="AI28" i="2"/>
  <c r="AI29" i="2"/>
  <c r="AI30" i="2"/>
  <c r="AI31" i="2"/>
  <c r="AI32" i="2"/>
  <c r="AI33" i="2"/>
  <c r="AI34" i="2"/>
  <c r="AI35" i="2"/>
  <c r="AI19" i="2"/>
  <c r="AI20" i="2"/>
  <c r="AI21" i="2"/>
  <c r="AI22" i="2"/>
  <c r="AI23" i="2"/>
  <c r="AI24" i="2"/>
  <c r="AI25" i="2"/>
  <c r="AI9" i="2"/>
  <c r="AI10" i="2"/>
  <c r="AI12" i="2"/>
  <c r="AI13" i="2"/>
  <c r="AI14" i="2"/>
  <c r="AI15" i="2"/>
  <c r="AI16" i="2"/>
  <c r="AI17" i="2"/>
  <c r="AI18" i="2"/>
  <c r="AI8" i="2"/>
  <c r="AI52" i="2" l="1"/>
  <c r="G9" i="4"/>
  <c r="D9" i="3"/>
  <c r="F9" i="3" s="1"/>
  <c r="AI46" i="2"/>
  <c r="AY52" i="2"/>
  <c r="BA50" i="2"/>
  <c r="BA52" i="2" s="1"/>
  <c r="I32" i="3"/>
  <c r="I22" i="3"/>
  <c r="I41" i="3" l="1"/>
  <c r="I44" i="3" s="1"/>
  <c r="C16" i="3"/>
  <c r="AF51" i="2"/>
  <c r="AF50" i="2"/>
  <c r="AE52" i="2"/>
  <c r="AD52" i="2"/>
  <c r="AF52" i="2" l="1"/>
  <c r="AE46" i="2"/>
  <c r="AF44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0" i="2"/>
  <c r="AF9" i="2"/>
  <c r="AD46" i="2" l="1"/>
  <c r="AF8" i="2"/>
  <c r="AF46" i="2" s="1"/>
  <c r="AA45" i="2"/>
  <c r="AA9" i="2"/>
  <c r="AC9" i="2" s="1"/>
  <c r="AA8" i="2"/>
  <c r="AC8" i="2" s="1"/>
  <c r="AC10" i="2"/>
  <c r="AC12" i="2"/>
  <c r="AC13" i="2"/>
  <c r="AC14" i="2"/>
  <c r="AC15" i="2"/>
  <c r="AC16" i="2"/>
  <c r="AB52" i="2"/>
  <c r="AA52" i="2"/>
  <c r="AC51" i="2"/>
  <c r="AC50" i="2"/>
  <c r="AC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Y52" i="2"/>
  <c r="X52" i="2"/>
  <c r="V52" i="2"/>
  <c r="U52" i="2"/>
  <c r="S52" i="2"/>
  <c r="R52" i="2"/>
  <c r="P52" i="2"/>
  <c r="O52" i="2"/>
  <c r="V46" i="2"/>
  <c r="S46" i="2"/>
  <c r="P46" i="2"/>
  <c r="J45" i="2"/>
  <c r="J44" i="2"/>
  <c r="J43" i="2"/>
  <c r="G43" i="2"/>
  <c r="J42" i="2"/>
  <c r="J41" i="2"/>
  <c r="G41" i="2"/>
  <c r="J40" i="2"/>
  <c r="J39" i="2"/>
  <c r="G39" i="2"/>
  <c r="J38" i="2"/>
  <c r="J37" i="2"/>
  <c r="G37" i="2"/>
  <c r="J36" i="2"/>
  <c r="J35" i="2"/>
  <c r="G35" i="2"/>
  <c r="J34" i="2"/>
  <c r="J33" i="2"/>
  <c r="G33" i="2"/>
  <c r="J32" i="2"/>
  <c r="J31" i="2"/>
  <c r="G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2" i="2"/>
  <c r="J10" i="2"/>
  <c r="J8" i="2"/>
  <c r="Y13" i="2"/>
  <c r="AZ13" i="2" s="1"/>
  <c r="X8" i="2"/>
  <c r="AC52" i="2" l="1"/>
  <c r="BA13" i="2"/>
  <c r="AA46" i="2"/>
  <c r="AB46" i="2"/>
  <c r="Y46" i="2"/>
  <c r="J13" i="2"/>
  <c r="AZ46" i="2"/>
  <c r="J9" i="2"/>
  <c r="G10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2" i="2"/>
  <c r="G34" i="2"/>
  <c r="G36" i="2"/>
  <c r="G38" i="2"/>
  <c r="G40" i="2"/>
  <c r="G42" i="2"/>
  <c r="G44" i="2"/>
  <c r="Z37" i="2"/>
  <c r="Z38" i="2"/>
  <c r="Z39" i="2"/>
  <c r="Z40" i="2"/>
  <c r="Z41" i="2"/>
  <c r="Z42" i="2"/>
  <c r="Z43" i="2"/>
  <c r="Z44" i="2"/>
  <c r="Z25" i="2"/>
  <c r="Z26" i="2"/>
  <c r="Z27" i="2"/>
  <c r="Z28" i="2"/>
  <c r="Z29" i="2"/>
  <c r="Z30" i="2"/>
  <c r="Z31" i="2"/>
  <c r="Z32" i="2"/>
  <c r="Z33" i="2"/>
  <c r="Z34" i="2"/>
  <c r="Z35" i="2"/>
  <c r="Z36" i="2"/>
  <c r="Z16" i="2"/>
  <c r="Z17" i="2"/>
  <c r="Z18" i="2"/>
  <c r="Z19" i="2"/>
  <c r="Z20" i="2"/>
  <c r="Z21" i="2"/>
  <c r="Z22" i="2"/>
  <c r="Z23" i="2"/>
  <c r="Z24" i="2"/>
  <c r="Z10" i="2"/>
  <c r="Z12" i="2"/>
  <c r="Z13" i="2"/>
  <c r="Z14" i="2"/>
  <c r="Z15" i="2"/>
  <c r="X9" i="2"/>
  <c r="X45" i="2"/>
  <c r="Z51" i="2"/>
  <c r="Z50" i="2"/>
  <c r="AZ52" i="2"/>
  <c r="U45" i="2"/>
  <c r="U9" i="2"/>
  <c r="U8" i="2"/>
  <c r="U46" i="2" s="1"/>
  <c r="R45" i="2"/>
  <c r="AY45" i="2" s="1"/>
  <c r="R9" i="2"/>
  <c r="R8" i="2"/>
  <c r="AY8" i="2" l="1"/>
  <c r="BA8" i="2"/>
  <c r="Z52" i="2"/>
  <c r="G45" i="2"/>
  <c r="AC46" i="2"/>
  <c r="R46" i="2"/>
  <c r="X46" i="2"/>
  <c r="Z9" i="2"/>
  <c r="Z8" i="2"/>
  <c r="Z46" i="2" s="1"/>
  <c r="O9" i="2"/>
  <c r="AY9" i="2" s="1"/>
  <c r="AY46" i="2" l="1"/>
  <c r="O46" i="2"/>
  <c r="H8" i="2"/>
  <c r="G8" i="2" s="1"/>
  <c r="M8" i="2" s="1"/>
  <c r="BA9" i="2" l="1"/>
  <c r="BA46" i="2" s="1"/>
  <c r="L8" i="2"/>
  <c r="G9" i="2"/>
  <c r="M9" i="2" s="1"/>
  <c r="D49" i="4"/>
  <c r="C48" i="4"/>
  <c r="D48" i="4" s="1"/>
  <c r="D47" i="4"/>
  <c r="D42" i="4"/>
  <c r="D41" i="4"/>
  <c r="D40" i="4"/>
  <c r="D39" i="4"/>
  <c r="D38" i="4"/>
  <c r="D37" i="4"/>
  <c r="D36" i="4"/>
  <c r="D35" i="4"/>
  <c r="D34" i="4"/>
  <c r="D32" i="4"/>
  <c r="D31" i="4"/>
  <c r="C27" i="4"/>
  <c r="B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C7" i="4"/>
  <c r="L43" i="3"/>
  <c r="G51" i="3"/>
  <c r="J49" i="2"/>
  <c r="I47" i="4" s="1"/>
  <c r="G49" i="2"/>
  <c r="G47" i="4" s="1"/>
  <c r="L45" i="2"/>
  <c r="D27" i="4" l="1"/>
  <c r="B44" i="4"/>
  <c r="J43" i="4"/>
  <c r="D7" i="4"/>
  <c r="J47" i="4"/>
  <c r="C44" i="4"/>
  <c r="D6" i="4"/>
  <c r="D44" i="4" l="1"/>
  <c r="L48" i="3"/>
  <c r="G43" i="1" l="1"/>
  <c r="C48" i="1"/>
  <c r="G48" i="1" s="1"/>
  <c r="K46" i="2"/>
  <c r="C50" i="2"/>
  <c r="C47" i="1" l="1"/>
  <c r="B42" i="1" s="1"/>
  <c r="D42" i="1" s="1"/>
  <c r="Q51" i="2"/>
  <c r="T51" i="2"/>
  <c r="W51" i="2"/>
  <c r="W50" i="2"/>
  <c r="T50" i="2"/>
  <c r="Q50" i="2"/>
  <c r="I45" i="2"/>
  <c r="F45" i="2"/>
  <c r="J50" i="2"/>
  <c r="I48" i="4" s="1"/>
  <c r="H46" i="2"/>
  <c r="L34" i="2"/>
  <c r="L29" i="2"/>
  <c r="N47" i="2"/>
  <c r="N48" i="2"/>
  <c r="L49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33" i="2"/>
  <c r="L36" i="2"/>
  <c r="L37" i="2"/>
  <c r="L38" i="2"/>
  <c r="L39" i="2"/>
  <c r="L40" i="2"/>
  <c r="L41" i="2"/>
  <c r="L42" i="2"/>
  <c r="L43" i="2"/>
  <c r="L44" i="2"/>
  <c r="J51" i="2"/>
  <c r="I49" i="4" s="1"/>
  <c r="D50" i="3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0" i="2"/>
  <c r="W9" i="2"/>
  <c r="W8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0" i="2"/>
  <c r="T9" i="2"/>
  <c r="T8" i="2"/>
  <c r="Q9" i="2"/>
  <c r="Q10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8" i="2"/>
  <c r="D48" i="1"/>
  <c r="I42" i="1"/>
  <c r="H42" i="1"/>
  <c r="F42" i="1"/>
  <c r="D51" i="2"/>
  <c r="D50" i="2"/>
  <c r="D49" i="2"/>
  <c r="D44" i="2"/>
  <c r="D43" i="2"/>
  <c r="D42" i="2"/>
  <c r="D41" i="2"/>
  <c r="D40" i="2"/>
  <c r="D39" i="2"/>
  <c r="D38" i="2"/>
  <c r="D37" i="2"/>
  <c r="D36" i="2"/>
  <c r="D34" i="2"/>
  <c r="D33" i="2"/>
  <c r="C29" i="2"/>
  <c r="B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C9" i="2"/>
  <c r="B9" i="2"/>
  <c r="D49" i="1"/>
  <c r="G47" i="1"/>
  <c r="J47" i="1" s="1"/>
  <c r="G49" i="1"/>
  <c r="J49" i="1" s="1"/>
  <c r="J48" i="1"/>
  <c r="J31" i="1"/>
  <c r="J26" i="1"/>
  <c r="J7" i="1"/>
  <c r="Q52" i="2" l="1"/>
  <c r="D47" i="1"/>
  <c r="D50" i="1" s="1"/>
  <c r="I43" i="1"/>
  <c r="J42" i="1"/>
  <c r="J43" i="1" s="1"/>
  <c r="Q46" i="2"/>
  <c r="T46" i="2"/>
  <c r="W46" i="2"/>
  <c r="W52" i="2"/>
  <c r="T52" i="2"/>
  <c r="C8" i="2"/>
  <c r="D8" i="2" s="1"/>
  <c r="N9" i="2"/>
  <c r="M15" i="2"/>
  <c r="N15" i="2" s="1"/>
  <c r="M27" i="2"/>
  <c r="N27" i="2" s="1"/>
  <c r="M18" i="2"/>
  <c r="N18" i="2" s="1"/>
  <c r="M24" i="2"/>
  <c r="N24" i="2" s="1"/>
  <c r="D49" i="3"/>
  <c r="D48" i="3"/>
  <c r="L46" i="2"/>
  <c r="M14" i="2"/>
  <c r="M26" i="2"/>
  <c r="N26" i="2" s="1"/>
  <c r="I50" i="4"/>
  <c r="G11" i="4"/>
  <c r="D11" i="3"/>
  <c r="G23" i="4"/>
  <c r="D23" i="3"/>
  <c r="G41" i="4"/>
  <c r="M43" i="2"/>
  <c r="N43" i="2" s="1"/>
  <c r="D41" i="3"/>
  <c r="G18" i="4"/>
  <c r="D18" i="3"/>
  <c r="G30" i="4"/>
  <c r="D30" i="3"/>
  <c r="M44" i="2"/>
  <c r="N44" i="2" s="1"/>
  <c r="G42" i="4"/>
  <c r="D42" i="3"/>
  <c r="I17" i="4"/>
  <c r="J17" i="3"/>
  <c r="L17" i="3" s="1"/>
  <c r="I29" i="4"/>
  <c r="J29" i="3"/>
  <c r="L29" i="3" s="1"/>
  <c r="J41" i="3"/>
  <c r="L41" i="3" s="1"/>
  <c r="I41" i="4"/>
  <c r="D19" i="3"/>
  <c r="G19" i="4"/>
  <c r="M33" i="2"/>
  <c r="N33" i="2" s="1"/>
  <c r="G31" i="4"/>
  <c r="D31" i="3"/>
  <c r="I12" i="4"/>
  <c r="J12" i="3"/>
  <c r="L12" i="3" s="1"/>
  <c r="I30" i="4"/>
  <c r="J30" i="3"/>
  <c r="L30" i="3" s="1"/>
  <c r="M13" i="2"/>
  <c r="N13" i="2" s="1"/>
  <c r="M25" i="2"/>
  <c r="N25" i="2" s="1"/>
  <c r="D7" i="3"/>
  <c r="G7" i="4"/>
  <c r="D14" i="3"/>
  <c r="G14" i="4"/>
  <c r="D20" i="3"/>
  <c r="G20" i="4"/>
  <c r="D26" i="3"/>
  <c r="G26" i="4"/>
  <c r="D38" i="3"/>
  <c r="G38" i="4"/>
  <c r="M40" i="2"/>
  <c r="N40" i="2" s="1"/>
  <c r="J13" i="3"/>
  <c r="L13" i="3" s="1"/>
  <c r="I13" i="4"/>
  <c r="I19" i="4"/>
  <c r="J19" i="3"/>
  <c r="L19" i="3" s="1"/>
  <c r="I25" i="4"/>
  <c r="J25" i="3"/>
  <c r="L25" i="3" s="1"/>
  <c r="I31" i="4"/>
  <c r="J31" i="3"/>
  <c r="L31" i="3" s="1"/>
  <c r="I37" i="4"/>
  <c r="J37" i="3"/>
  <c r="L37" i="3" s="1"/>
  <c r="J52" i="2"/>
  <c r="M20" i="2"/>
  <c r="N20" i="2" s="1"/>
  <c r="D8" i="3"/>
  <c r="G8" i="4"/>
  <c r="D15" i="3"/>
  <c r="G15" i="4"/>
  <c r="D21" i="3"/>
  <c r="G21" i="4"/>
  <c r="M29" i="2"/>
  <c r="N29" i="2" s="1"/>
  <c r="D27" i="3"/>
  <c r="G27" i="4"/>
  <c r="D33" i="3"/>
  <c r="G33" i="4"/>
  <c r="D39" i="3"/>
  <c r="G39" i="4"/>
  <c r="M41" i="2"/>
  <c r="N41" i="2" s="1"/>
  <c r="I7" i="4"/>
  <c r="J7" i="3"/>
  <c r="L7" i="3" s="1"/>
  <c r="J14" i="3"/>
  <c r="L14" i="3" s="1"/>
  <c r="I14" i="4"/>
  <c r="J20" i="3"/>
  <c r="L20" i="3" s="1"/>
  <c r="I20" i="4"/>
  <c r="J26" i="3"/>
  <c r="L26" i="3" s="1"/>
  <c r="I26" i="4"/>
  <c r="J32" i="3"/>
  <c r="I32" i="4"/>
  <c r="J38" i="3"/>
  <c r="L38" i="3" s="1"/>
  <c r="I38" i="4"/>
  <c r="M21" i="2"/>
  <c r="N21" i="2" s="1"/>
  <c r="M50" i="2"/>
  <c r="G48" i="4"/>
  <c r="I6" i="4"/>
  <c r="J6" i="3"/>
  <c r="J46" i="2"/>
  <c r="G17" i="4"/>
  <c r="D17" i="3"/>
  <c r="G29" i="4"/>
  <c r="D29" i="3"/>
  <c r="G35" i="4"/>
  <c r="M37" i="2"/>
  <c r="N37" i="2" s="1"/>
  <c r="D35" i="3"/>
  <c r="G12" i="4"/>
  <c r="D12" i="3"/>
  <c r="G24" i="4"/>
  <c r="D24" i="3"/>
  <c r="G36" i="4"/>
  <c r="M38" i="2"/>
  <c r="N38" i="2" s="1"/>
  <c r="D36" i="3"/>
  <c r="I11" i="4"/>
  <c r="J11" i="3"/>
  <c r="L11" i="3" s="1"/>
  <c r="I23" i="4"/>
  <c r="J23" i="3"/>
  <c r="L23" i="3" s="1"/>
  <c r="I35" i="4"/>
  <c r="J35" i="3"/>
  <c r="L35" i="3" s="1"/>
  <c r="G13" i="4"/>
  <c r="D13" i="3"/>
  <c r="G25" i="4"/>
  <c r="D25" i="3"/>
  <c r="M39" i="2"/>
  <c r="N39" i="2" s="1"/>
  <c r="D37" i="3"/>
  <c r="M37" i="3" s="1"/>
  <c r="G37" i="4"/>
  <c r="M51" i="2"/>
  <c r="G49" i="4"/>
  <c r="J49" i="4" s="1"/>
  <c r="I18" i="4"/>
  <c r="J18" i="3"/>
  <c r="L18" i="3" s="1"/>
  <c r="I24" i="4"/>
  <c r="J24" i="3"/>
  <c r="L24" i="3" s="1"/>
  <c r="I36" i="4"/>
  <c r="J36" i="3"/>
  <c r="L36" i="3" s="1"/>
  <c r="I42" i="4"/>
  <c r="J42" i="3"/>
  <c r="L42" i="3" s="1"/>
  <c r="M19" i="2"/>
  <c r="N19" i="2" s="1"/>
  <c r="D32" i="3"/>
  <c r="G32" i="4"/>
  <c r="M34" i="2"/>
  <c r="N34" i="2" s="1"/>
  <c r="D10" i="3"/>
  <c r="G10" i="4"/>
  <c r="D16" i="3"/>
  <c r="G16" i="4"/>
  <c r="D22" i="3"/>
  <c r="G22" i="4"/>
  <c r="D28" i="3"/>
  <c r="G28" i="4"/>
  <c r="D34" i="3"/>
  <c r="M36" i="2"/>
  <c r="N36" i="2" s="1"/>
  <c r="G34" i="4"/>
  <c r="D40" i="3"/>
  <c r="M42" i="2"/>
  <c r="N42" i="2" s="1"/>
  <c r="G40" i="4"/>
  <c r="I8" i="4"/>
  <c r="J8" i="3"/>
  <c r="L8" i="3" s="1"/>
  <c r="J15" i="3"/>
  <c r="L15" i="3" s="1"/>
  <c r="I15" i="4"/>
  <c r="J21" i="3"/>
  <c r="L21" i="3" s="1"/>
  <c r="I21" i="4"/>
  <c r="J27" i="3"/>
  <c r="L27" i="3" s="1"/>
  <c r="I27" i="4"/>
  <c r="J33" i="3"/>
  <c r="L33" i="3" s="1"/>
  <c r="I33" i="4"/>
  <c r="J39" i="3"/>
  <c r="L39" i="3" s="1"/>
  <c r="I39" i="4"/>
  <c r="M45" i="2"/>
  <c r="M16" i="2"/>
  <c r="N16" i="2" s="1"/>
  <c r="M22" i="2"/>
  <c r="N22" i="2" s="1"/>
  <c r="M28" i="2"/>
  <c r="N28" i="2" s="1"/>
  <c r="I10" i="4"/>
  <c r="J10" i="3"/>
  <c r="I16" i="4"/>
  <c r="J16" i="3"/>
  <c r="L16" i="3" s="1"/>
  <c r="I22" i="4"/>
  <c r="J22" i="3"/>
  <c r="L22" i="3" s="1"/>
  <c r="I28" i="4"/>
  <c r="J28" i="3"/>
  <c r="L28" i="3" s="1"/>
  <c r="I34" i="4"/>
  <c r="J34" i="3"/>
  <c r="L34" i="3" s="1"/>
  <c r="I40" i="4"/>
  <c r="J40" i="3"/>
  <c r="L40" i="3" s="1"/>
  <c r="M17" i="2"/>
  <c r="N17" i="2" s="1"/>
  <c r="M23" i="2"/>
  <c r="N23" i="2" s="1"/>
  <c r="C48" i="3"/>
  <c r="M49" i="2"/>
  <c r="G52" i="2"/>
  <c r="C43" i="3" s="1"/>
  <c r="C44" i="3" s="1"/>
  <c r="L50" i="2"/>
  <c r="L51" i="2"/>
  <c r="D9" i="2"/>
  <c r="D29" i="2"/>
  <c r="D6" i="3"/>
  <c r="B46" i="2"/>
  <c r="J50" i="1"/>
  <c r="C26" i="1"/>
  <c r="B26" i="1"/>
  <c r="C7" i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C43" i="1" l="1"/>
  <c r="J44" i="3"/>
  <c r="J7" i="4"/>
  <c r="L7" i="4" s="1"/>
  <c r="M7" i="3"/>
  <c r="K5" i="1"/>
  <c r="N14" i="2"/>
  <c r="C46" i="2"/>
  <c r="M24" i="3"/>
  <c r="M26" i="3"/>
  <c r="M6" i="3"/>
  <c r="M25" i="3"/>
  <c r="M38" i="3"/>
  <c r="M14" i="3"/>
  <c r="M19" i="3"/>
  <c r="M18" i="3"/>
  <c r="M40" i="3"/>
  <c r="M42" i="3"/>
  <c r="L6" i="3"/>
  <c r="M22" i="3"/>
  <c r="M39" i="3"/>
  <c r="F7" i="3"/>
  <c r="M12" i="3"/>
  <c r="M32" i="3"/>
  <c r="M21" i="3"/>
  <c r="M31" i="3"/>
  <c r="M34" i="3"/>
  <c r="M16" i="3"/>
  <c r="M36" i="3"/>
  <c r="M17" i="3"/>
  <c r="M20" i="3"/>
  <c r="M11" i="3"/>
  <c r="M35" i="3"/>
  <c r="M15" i="3"/>
  <c r="M41" i="3"/>
  <c r="F48" i="3"/>
  <c r="D43" i="3" s="1"/>
  <c r="M13" i="3"/>
  <c r="M23" i="3"/>
  <c r="J42" i="4"/>
  <c r="L42" i="4" s="1"/>
  <c r="J37" i="4"/>
  <c r="L37" i="4" s="1"/>
  <c r="M52" i="2"/>
  <c r="N52" i="2" s="1"/>
  <c r="J17" i="4"/>
  <c r="L17" i="4" s="1"/>
  <c r="J13" i="4"/>
  <c r="L13" i="4" s="1"/>
  <c r="J21" i="4"/>
  <c r="L21" i="4" s="1"/>
  <c r="J12" i="4"/>
  <c r="L12" i="4" s="1"/>
  <c r="J22" i="4"/>
  <c r="L22" i="4" s="1"/>
  <c r="J34" i="4"/>
  <c r="L34" i="4" s="1"/>
  <c r="J36" i="4"/>
  <c r="L36" i="4" s="1"/>
  <c r="J16" i="4"/>
  <c r="L16" i="4" s="1"/>
  <c r="J25" i="4"/>
  <c r="L25" i="4" s="1"/>
  <c r="J38" i="4"/>
  <c r="L38" i="4" s="1"/>
  <c r="J31" i="4"/>
  <c r="L31" i="4" s="1"/>
  <c r="J18" i="4"/>
  <c r="L18" i="4" s="1"/>
  <c r="F28" i="3"/>
  <c r="N28" i="3"/>
  <c r="F39" i="3"/>
  <c r="N39" i="3"/>
  <c r="F42" i="3"/>
  <c r="N42" i="3"/>
  <c r="F40" i="3"/>
  <c r="N40" i="3"/>
  <c r="F36" i="3"/>
  <c r="N36" i="3"/>
  <c r="F17" i="3"/>
  <c r="N17" i="3"/>
  <c r="F21" i="3"/>
  <c r="N21" i="3"/>
  <c r="F38" i="3"/>
  <c r="N38" i="3"/>
  <c r="F14" i="3"/>
  <c r="N14" i="3"/>
  <c r="F41" i="3"/>
  <c r="N41" i="3"/>
  <c r="J32" i="4"/>
  <c r="L32" i="4" s="1"/>
  <c r="F33" i="3"/>
  <c r="N33" i="3"/>
  <c r="J26" i="4"/>
  <c r="L26" i="4" s="1"/>
  <c r="J19" i="4"/>
  <c r="L19" i="4" s="1"/>
  <c r="F32" i="3"/>
  <c r="N32" i="3"/>
  <c r="F15" i="3"/>
  <c r="N15" i="3"/>
  <c r="F26" i="3"/>
  <c r="N26" i="3"/>
  <c r="F19" i="3"/>
  <c r="N19" i="3"/>
  <c r="F30" i="3"/>
  <c r="N30" i="3"/>
  <c r="F34" i="3"/>
  <c r="N34" i="3"/>
  <c r="F16" i="3"/>
  <c r="N16" i="3"/>
  <c r="F24" i="3"/>
  <c r="N24" i="3"/>
  <c r="J35" i="4"/>
  <c r="L35" i="4" s="1"/>
  <c r="F27" i="3"/>
  <c r="N27" i="3"/>
  <c r="J20" i="4"/>
  <c r="L20" i="4" s="1"/>
  <c r="F23" i="3"/>
  <c r="N23" i="3"/>
  <c r="G6" i="4"/>
  <c r="F10" i="3"/>
  <c r="N10" i="3"/>
  <c r="F12" i="3"/>
  <c r="N12" i="3"/>
  <c r="G50" i="4"/>
  <c r="J48" i="4"/>
  <c r="J50" i="4" s="1"/>
  <c r="J14" i="4"/>
  <c r="L14" i="4" s="1"/>
  <c r="F37" i="3"/>
  <c r="N37" i="3"/>
  <c r="L32" i="3"/>
  <c r="F22" i="3"/>
  <c r="N22" i="3"/>
  <c r="F35" i="3"/>
  <c r="N35" i="3"/>
  <c r="J15" i="4"/>
  <c r="L15" i="4" s="1"/>
  <c r="N7" i="3"/>
  <c r="F25" i="3"/>
  <c r="N25" i="3"/>
  <c r="J27" i="4"/>
  <c r="L27" i="4" s="1"/>
  <c r="J41" i="4"/>
  <c r="L41" i="4" s="1"/>
  <c r="L10" i="3"/>
  <c r="J40" i="4"/>
  <c r="L40" i="4" s="1"/>
  <c r="F13" i="3"/>
  <c r="N13" i="3"/>
  <c r="J24" i="4"/>
  <c r="L24" i="4" s="1"/>
  <c r="F29" i="3"/>
  <c r="N29" i="3"/>
  <c r="M27" i="3"/>
  <c r="I44" i="4"/>
  <c r="M7" i="4" s="1"/>
  <c r="J39" i="4"/>
  <c r="L39" i="4" s="1"/>
  <c r="F8" i="3"/>
  <c r="N8" i="3"/>
  <c r="F20" i="3"/>
  <c r="N20" i="3"/>
  <c r="F31" i="3"/>
  <c r="N31" i="3"/>
  <c r="F18" i="3"/>
  <c r="N18" i="3"/>
  <c r="J23" i="4"/>
  <c r="L23" i="4" s="1"/>
  <c r="F11" i="3"/>
  <c r="N11" i="3"/>
  <c r="J11" i="4"/>
  <c r="L11" i="4" s="1"/>
  <c r="N49" i="2"/>
  <c r="G46" i="2"/>
  <c r="D46" i="2"/>
  <c r="D26" i="1"/>
  <c r="K26" i="1" s="1"/>
  <c r="D7" i="1"/>
  <c r="D43" i="1" s="1"/>
  <c r="M43" i="3" l="1"/>
  <c r="D44" i="3"/>
  <c r="L44" i="3"/>
  <c r="N8" i="2"/>
  <c r="M46" i="2"/>
  <c r="F43" i="3"/>
  <c r="M11" i="4"/>
  <c r="M39" i="4"/>
  <c r="M24" i="4"/>
  <c r="M26" i="4"/>
  <c r="M13" i="4"/>
  <c r="M18" i="4"/>
  <c r="M37" i="4"/>
  <c r="M42" i="4"/>
  <c r="M15" i="4"/>
  <c r="M20" i="4"/>
  <c r="M6" i="4"/>
  <c r="M31" i="4"/>
  <c r="M40" i="4"/>
  <c r="M21" i="4"/>
  <c r="M22" i="4"/>
  <c r="M25" i="4"/>
  <c r="M38" i="4"/>
  <c r="M23" i="4"/>
  <c r="M41" i="4"/>
  <c r="M44" i="4"/>
  <c r="M34" i="4"/>
  <c r="M32" i="4"/>
  <c r="M14" i="4"/>
  <c r="M17" i="4"/>
  <c r="M36" i="4"/>
  <c r="M35" i="4"/>
  <c r="M19" i="4"/>
  <c r="J6" i="4"/>
  <c r="G44" i="4"/>
  <c r="M12" i="4"/>
  <c r="M16" i="4"/>
  <c r="M27" i="4"/>
  <c r="M44" i="3"/>
  <c r="N43" i="3"/>
  <c r="F6" i="3"/>
  <c r="N6" i="3"/>
  <c r="K8" i="1"/>
  <c r="F44" i="3" l="1"/>
  <c r="M45" i="3"/>
  <c r="N46" i="2"/>
  <c r="L6" i="4"/>
  <c r="J44" i="4"/>
  <c r="N7" i="4" s="1"/>
  <c r="N44" i="3"/>
  <c r="N32" i="4" l="1"/>
  <c r="N37" i="4"/>
  <c r="N18" i="4"/>
  <c r="N24" i="4"/>
  <c r="N13" i="4"/>
  <c r="N26" i="4"/>
  <c r="N39" i="4"/>
  <c r="N36" i="4"/>
  <c r="N41" i="4"/>
  <c r="N35" i="4"/>
  <c r="N31" i="4"/>
  <c r="N25" i="4"/>
  <c r="N14" i="4"/>
  <c r="N40" i="4"/>
  <c r="N34" i="4"/>
  <c r="N42" i="4"/>
  <c r="N6" i="4"/>
  <c r="N16" i="4"/>
  <c r="N12" i="4"/>
  <c r="N19" i="4"/>
  <c r="N11" i="4"/>
  <c r="N27" i="4"/>
  <c r="N23" i="4"/>
  <c r="N38" i="4"/>
  <c r="N17" i="4"/>
  <c r="N22" i="4"/>
  <c r="N21" i="4"/>
  <c r="N20" i="4"/>
  <c r="N15" i="4"/>
  <c r="L44" i="4"/>
  <c r="N44" i="4"/>
  <c r="AR8" i="2"/>
  <c r="AR9" i="2"/>
  <c r="AR10" i="2"/>
  <c r="AR11" i="2"/>
  <c r="AR12" i="2"/>
  <c r="AR13" i="2"/>
  <c r="AR14" i="2"/>
  <c r="AR15" i="2"/>
  <c r="AR21" i="2"/>
  <c r="AR20" i="2"/>
  <c r="AR19" i="2"/>
  <c r="AR18" i="2"/>
  <c r="AR17" i="2"/>
  <c r="AR16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43" i="2"/>
  <c r="AR42" i="2"/>
  <c r="AR41" i="2"/>
  <c r="AR40" i="2"/>
  <c r="AR39" i="2"/>
  <c r="AR38" i="2"/>
  <c r="AR37" i="2"/>
  <c r="AR36" i="2"/>
  <c r="AR35" i="2"/>
  <c r="AR44" i="2"/>
  <c r="AR46" i="2" l="1"/>
</calcChain>
</file>

<file path=xl/sharedStrings.xml><?xml version="1.0" encoding="utf-8"?>
<sst xmlns="http://schemas.openxmlformats.org/spreadsheetml/2006/main" count="567" uniqueCount="151">
  <si>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</si>
  <si>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</si>
  <si>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</si>
  <si>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</si>
  <si>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</si>
  <si>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</si>
  <si>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</si>
  <si>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</si>
  <si>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</si>
  <si>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</si>
  <si>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</si>
  <si>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</si>
  <si>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</si>
  <si>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</si>
  <si>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</si>
  <si>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</si>
  <si>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</si>
  <si>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</si>
  <si>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</si>
  <si>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</si>
  <si>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</si>
  <si>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</si>
  <si>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</si>
  <si>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</si>
  <si>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</si>
  <si>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</si>
  <si>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</si>
  <si>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</si>
  <si>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</si>
  <si>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</si>
  <si>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</si>
  <si>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</si>
  <si>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</si>
  <si>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</si>
  <si>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</si>
  <si>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</si>
  <si>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</si>
  <si>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</si>
  <si>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</si>
  <si>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</si>
  <si>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</si>
  <si>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</si>
  <si>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</si>
  <si>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</si>
  <si>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</si>
  <si>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</si>
  <si>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</si>
  <si>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</si>
  <si>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</si>
  <si>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</si>
  <si>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</si>
  <si>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</si>
  <si>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</si>
  <si>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</si>
  <si>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</si>
  <si>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</si>
  <si>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</si>
  <si>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</si>
  <si>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</si>
  <si>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</si>
  <si>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</si>
  <si>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</si>
  <si>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</si>
  <si>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</si>
  <si>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</si>
  <si>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</si>
  <si>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</si>
  <si>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</si>
  <si>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</si>
  <si>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</si>
  <si>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</si>
  <si>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</si>
  <si>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</si>
  <si>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</si>
  <si>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</si>
  <si>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</si>
  <si>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</si>
  <si>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</si>
  <si>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</si>
  <si>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</si>
  <si>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</si>
  <si>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</si>
  <si>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</si>
  <si>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</si>
  <si>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</si>
  <si>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</si>
  <si>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</si>
  <si>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</si>
  <si>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</si>
  <si>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</si>
  <si>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</si>
  <si>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</si>
  <si>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</si>
  <si>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</si>
  <si>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</si>
  <si>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</si>
  <si>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</si>
  <si>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</si>
  <si>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</si>
  <si>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</si>
  <si>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</si>
  <si>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</si>
  <si>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</si>
  <si>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</si>
  <si>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</si>
  <si>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</si>
  <si>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</si>
  <si>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</si>
  <si>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</si>
  <si>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</si>
  <si>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</si>
  <si>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</si>
  <si>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</si>
  <si>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</si>
  <si>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</si>
  <si>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</si>
  <si>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</si>
  <si>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</si>
  <si>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</si>
  <si>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</si>
  <si>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</si>
  <si>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</si>
  <si>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</si>
  <si>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</si>
  <si>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</si>
  <si>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</si>
  <si>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</si>
  <si>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</si>
  <si>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</si>
  <si>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</si>
  <si>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</si>
  <si>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</si>
  <si>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</si>
  <si>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</si>
  <si>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</si>
  <si>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</si>
  <si>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</si>
  <si>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</si>
  <si>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</si>
  <si>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</si>
  <si>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</si>
  <si>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</si>
  <si>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</si>
  <si>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</si>
  <si>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</si>
  <si>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RIO GAS</t>
  </si>
  <si>
    <t>GAS PIGUE</t>
  </si>
  <si>
    <t xml:space="preserve">BRAGAS </t>
  </si>
  <si>
    <t>Enero-Diciembre 2023</t>
  </si>
  <si>
    <t>Enero 2008 _ Diciembre 2023</t>
  </si>
  <si>
    <t>E N E R O   2 0 0 8   a   D I C I E M B R E   2 0 2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</si>
</sst>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197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distributed"/>
    </xf>
    <xf numFmtId="0" fontId="8" fillId="3" borderId="25" xfId="0" applyFont="1" applyFill="1" applyBorder="1" applyAlignment="1">
      <alignment horizontal="center" vertical="distributed"/>
    </xf>
    <xf numFmtId="3" fontId="8" fillId="3" borderId="19" xfId="0" applyNumberFormat="1" applyFont="1" applyFill="1" applyBorder="1" applyAlignment="1">
      <alignment horizontal="center" vertical="center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62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64" fontId="33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7" fillId="0" borderId="15" xfId="0" applyNumberFormat="1" applyFont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3" fontId="7" fillId="0" borderId="14" xfId="0" applyNumberFormat="1" applyFont="1" applyBorder="1" applyAlignment="1">
      <alignment horizontal="center" vertical="center"/>
    </xf>
    <xf numFmtId="17" fontId="22" fillId="2" borderId="0" xfId="0" applyNumberFormat="1" applyFont="1" applyFill="1" applyAlignment="1">
      <alignment horizontal="center" vertical="distributed"/>
    </xf>
    <xf numFmtId="16" fontId="1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3" fontId="25" fillId="3" borderId="37" xfId="0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horizontal="left" vertical="center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0" fillId="0" borderId="0" xfId="0" applyNumberFormat="1" applyFont="1" applyAlignment="1">
      <alignment horizontal="center"/>
    </xf>
    <xf numFmtId="17" fontId="31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3" fontId="10" fillId="0" borderId="0" xfId="0" applyNumberFormat="1" applyFont="1" applyAlignment="1">
      <alignment horizontal="left" vertical="distributed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10" fontId="19" fillId="3" borderId="0" xfId="1" applyNumberFormat="1" applyFont="1" applyFill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distributed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20" fillId="5" borderId="46" xfId="0" applyFont="1" applyFill="1" applyBorder="1" applyAlignment="1">
      <alignment horizontal="center" vertical="distributed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workbookViewId="0">
      <selection activeCell="C48" sqref="C48"/>
    </sheetView>
  </sheetViews>
  <sheetFormatPr baseColWidth="10" defaultColWidth="9" defaultRowHeight="12.75" x14ac:dyDescent="0.2"/>
  <cols>
    <col min="1" max="1" width="36.5703125" style="1" customWidth="1"/>
    <col min="2" max="2" width="27.140625" style="1" customWidth="1"/>
    <col min="3" max="3" width="26.85546875" style="1" customWidth="1"/>
    <col min="4" max="4" width="12.5703125" style="3" customWidth="1"/>
    <col min="5" max="5" width="2" style="1" customWidth="1"/>
    <col min="6" max="6" width="20.140625" style="1" bestFit="1" customWidth="1"/>
    <col min="7" max="7" width="14.5703125" style="1" bestFit="1" customWidth="1"/>
    <col min="8" max="8" width="23.85546875" style="1" bestFit="1" customWidth="1"/>
    <col min="9" max="9" width="14.5703125" style="1" bestFit="1" customWidth="1"/>
    <col min="10" max="10" width="21.140625" style="3" customWidth="1"/>
    <col min="11" max="11" width="14.5703125" style="4" bestFit="1" customWidth="1"/>
    <col min="12" max="16384" width="9" style="1"/>
  </cols>
  <sheetData>
    <row r="1" spans="1:11" ht="25.15" customHeight="1" x14ac:dyDescent="0.2"/>
    <row r="2" spans="1:11" ht="39.950000000000003" customHeight="1" x14ac:dyDescent="0.2">
      <c r="A2" s="161" t="s">
        <v>35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1" ht="30.2" customHeight="1" x14ac:dyDescent="0.25">
      <c r="A3" s="10"/>
      <c r="B3" s="158" t="s">
        <v>130</v>
      </c>
      <c r="C3" s="159"/>
      <c r="D3" s="167" t="s">
        <v>37</v>
      </c>
      <c r="E3" s="10"/>
      <c r="F3" s="10"/>
      <c r="G3" s="10"/>
      <c r="H3" s="10"/>
      <c r="I3" s="10"/>
      <c r="J3" s="10"/>
    </row>
    <row r="4" spans="1:11" ht="39.950000000000003" customHeight="1" x14ac:dyDescent="0.2">
      <c r="A4" s="13" t="s">
        <v>0</v>
      </c>
      <c r="B4" s="14" t="s">
        <v>34</v>
      </c>
      <c r="C4" s="15" t="s">
        <v>36</v>
      </c>
      <c r="D4" s="168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4.95" customHeight="1" x14ac:dyDescent="0.2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4.95" customHeight="1" x14ac:dyDescent="0.2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4.95" customHeight="1" x14ac:dyDescent="0.2">
      <c r="A7" s="166" t="s">
        <v>4</v>
      </c>
      <c r="B7" s="169">
        <f>157386+4976</f>
        <v>162362</v>
      </c>
      <c r="C7" s="156">
        <f>48335+2200</f>
        <v>50535</v>
      </c>
      <c r="D7" s="157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57">
        <f>+G7+G8+G9+I7+I8+I9</f>
        <v>212897</v>
      </c>
      <c r="K7" s="5"/>
    </row>
    <row r="8" spans="1:11" ht="24.95" customHeight="1" x14ac:dyDescent="0.2">
      <c r="A8" s="166"/>
      <c r="B8" s="169"/>
      <c r="C8" s="156"/>
      <c r="D8" s="157"/>
      <c r="E8" s="10"/>
      <c r="F8" s="17" t="s">
        <v>49</v>
      </c>
      <c r="G8" s="18">
        <v>5094</v>
      </c>
      <c r="H8" s="19" t="s">
        <v>50</v>
      </c>
      <c r="I8" s="18">
        <v>1399</v>
      </c>
      <c r="J8" s="157"/>
      <c r="K8" s="5">
        <f>+J7-D7</f>
        <v>0</v>
      </c>
    </row>
    <row r="9" spans="1:11" ht="24.95" customHeight="1" x14ac:dyDescent="0.2">
      <c r="A9" s="166"/>
      <c r="B9" s="169"/>
      <c r="C9" s="156"/>
      <c r="D9" s="157"/>
      <c r="E9" s="10"/>
      <c r="F9" s="17" t="s">
        <v>75</v>
      </c>
      <c r="G9" s="18">
        <v>4176</v>
      </c>
      <c r="H9" s="19" t="s">
        <v>76</v>
      </c>
      <c r="I9" s="18">
        <v>3000</v>
      </c>
      <c r="J9" s="157"/>
      <c r="K9" s="5"/>
    </row>
    <row r="10" spans="1:11" ht="24.95" customHeight="1" x14ac:dyDescent="0.2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4.95" customHeight="1" x14ac:dyDescent="0.2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4.95" customHeight="1" x14ac:dyDescent="0.2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4.95" customHeight="1" x14ac:dyDescent="0.2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4.95" customHeight="1" x14ac:dyDescent="0.2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4.95" customHeight="1" x14ac:dyDescent="0.2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4.95" customHeight="1" x14ac:dyDescent="0.2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4.95" customHeight="1" x14ac:dyDescent="0.2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4.95" customHeight="1" x14ac:dyDescent="0.2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4.95" customHeight="1" x14ac:dyDescent="0.2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4.95" customHeight="1" x14ac:dyDescent="0.2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4.95" customHeight="1" x14ac:dyDescent="0.2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4.95" customHeight="1" x14ac:dyDescent="0.2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4.95" customHeight="1" x14ac:dyDescent="0.2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4.95" customHeight="1" x14ac:dyDescent="0.2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4.95" customHeight="1" x14ac:dyDescent="0.2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4.95" customHeight="1" x14ac:dyDescent="0.2">
      <c r="A26" s="166" t="s">
        <v>21</v>
      </c>
      <c r="B26" s="164">
        <f>44507+800+7399</f>
        <v>52706</v>
      </c>
      <c r="C26" s="165">
        <f>10399+800</f>
        <v>11199</v>
      </c>
      <c r="D26" s="157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63">
        <f>G28+G29+G26+I26+G27+I28+I29</f>
        <v>63905</v>
      </c>
      <c r="K26" s="5">
        <f t="shared" si="1"/>
        <v>0</v>
      </c>
    </row>
    <row r="27" spans="1:11" ht="24.95" customHeight="1" x14ac:dyDescent="0.2">
      <c r="A27" s="166"/>
      <c r="B27" s="164"/>
      <c r="C27" s="165"/>
      <c r="D27" s="157"/>
      <c r="E27" s="10"/>
      <c r="F27" s="17" t="s">
        <v>53</v>
      </c>
      <c r="G27" s="18">
        <v>800</v>
      </c>
      <c r="H27" s="19" t="s">
        <v>54</v>
      </c>
      <c r="I27" s="18"/>
      <c r="J27" s="163"/>
      <c r="K27" s="5"/>
    </row>
    <row r="28" spans="1:11" ht="24.95" customHeight="1" x14ac:dyDescent="0.2">
      <c r="A28" s="166"/>
      <c r="B28" s="164"/>
      <c r="C28" s="165"/>
      <c r="D28" s="157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63"/>
      <c r="K28" s="5"/>
    </row>
    <row r="29" spans="1:11" ht="24.95" customHeight="1" x14ac:dyDescent="0.2">
      <c r="A29" s="166"/>
      <c r="B29" s="164"/>
      <c r="C29" s="165"/>
      <c r="D29" s="157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63"/>
      <c r="K29" s="5"/>
    </row>
    <row r="30" spans="1:11" ht="24.95" customHeight="1" x14ac:dyDescent="0.2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4.95" customHeight="1" x14ac:dyDescent="0.2">
      <c r="A31" s="166" t="s">
        <v>23</v>
      </c>
      <c r="B31" s="164">
        <v>6137</v>
      </c>
      <c r="C31" s="165">
        <v>2838</v>
      </c>
      <c r="D31" s="157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63">
        <f>+I31+I32+G31+G32</f>
        <v>8975</v>
      </c>
      <c r="K31" s="5">
        <f>+J31-D31</f>
        <v>0</v>
      </c>
    </row>
    <row r="32" spans="1:11" ht="24.95" customHeight="1" x14ac:dyDescent="0.2">
      <c r="A32" s="166"/>
      <c r="B32" s="164"/>
      <c r="C32" s="165"/>
      <c r="D32" s="157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63"/>
      <c r="K32" s="5"/>
    </row>
    <row r="33" spans="1:11" ht="24.95" customHeight="1" x14ac:dyDescent="0.2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4.95" customHeight="1" x14ac:dyDescent="0.2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4.95" customHeight="1" x14ac:dyDescent="0.2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4.95" customHeight="1" x14ac:dyDescent="0.2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4.95" customHeight="1" x14ac:dyDescent="0.2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4.95" customHeight="1" x14ac:dyDescent="0.2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4.95" customHeight="1" x14ac:dyDescent="0.2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4.95" customHeight="1" x14ac:dyDescent="0.2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4.95" customHeight="1" x14ac:dyDescent="0.2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8"/>
    </row>
    <row r="42" spans="1:11" ht="24.95" customHeight="1" x14ac:dyDescent="0.2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8"/>
    </row>
    <row r="43" spans="1:11" ht="39.950000000000003" customHeight="1" x14ac:dyDescent="0.2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9"/>
    </row>
    <row r="44" spans="1:11" ht="20.100000000000001" customHeight="1" x14ac:dyDescent="0.25">
      <c r="A44" s="10"/>
      <c r="B44" s="10"/>
      <c r="C44" s="10"/>
      <c r="D44" s="22"/>
      <c r="E44" s="10"/>
      <c r="F44" s="10"/>
      <c r="G44" s="84"/>
      <c r="H44" s="10"/>
      <c r="I44" s="10"/>
      <c r="J44" s="23"/>
      <c r="K44" s="47"/>
    </row>
    <row r="45" spans="1:11" ht="20.100000000000001" customHeight="1" x14ac:dyDescent="0.25">
      <c r="A45" s="46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4.95" customHeight="1" x14ac:dyDescent="0.2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4.95" customHeight="1" x14ac:dyDescent="0.2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4.95" customHeight="1" x14ac:dyDescent="0.2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450000000000003" customHeight="1" x14ac:dyDescent="0.2">
      <c r="A50" s="162" t="s">
        <v>41</v>
      </c>
      <c r="B50" s="162"/>
      <c r="C50" s="162"/>
      <c r="D50" s="31">
        <f>SUM(D47:D49)</f>
        <v>0</v>
      </c>
      <c r="E50" s="10"/>
      <c r="F50" s="160" t="s">
        <v>122</v>
      </c>
      <c r="G50" s="160"/>
      <c r="H50" s="160"/>
      <c r="I50" s="160"/>
      <c r="J50" s="9">
        <f>SUM(J47:J49)</f>
        <v>213356</v>
      </c>
    </row>
    <row r="51" spans="1:11" ht="20.100000000000001" customHeight="1" x14ac:dyDescent="0.2">
      <c r="D51" s="1"/>
      <c r="G51" s="2"/>
    </row>
    <row r="52" spans="1:11" x14ac:dyDescent="0.2">
      <c r="G52" s="2"/>
    </row>
  </sheetData>
  <sortState xmlns:xlrd2="http://schemas.microsoft.com/office/spreadsheetml/2017/richdata2" ref="A5:D39">
    <sortCondition ref="A5:A39"/>
  </sortState>
  <mergeCells count="20">
    <mergeCell ref="J7:J9"/>
    <mergeCell ref="D3:D4"/>
    <mergeCell ref="A7:A9"/>
    <mergeCell ref="B7:B9"/>
    <mergeCell ref="C7:C9"/>
    <mergeCell ref="D7:D9"/>
    <mergeCell ref="B3:C3"/>
    <mergeCell ref="F50:I50"/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BA6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Z54" sqref="AZ54:BA54"/>
    </sheetView>
  </sheetViews>
  <sheetFormatPr baseColWidth="10" defaultColWidth="9" defaultRowHeight="15" x14ac:dyDescent="0.2"/>
  <cols>
    <col min="1" max="1" width="31.140625" style="1" bestFit="1" customWidth="1"/>
    <col min="2" max="2" width="27.140625" style="1" hidden="1" customWidth="1"/>
    <col min="3" max="3" width="26.85546875" style="1" hidden="1" customWidth="1"/>
    <col min="4" max="4" width="12.5703125" style="3" hidden="1" customWidth="1"/>
    <col min="5" max="5" width="2" style="1" hidden="1" customWidth="1"/>
    <col min="6" max="7" width="20.7109375" style="1" customWidth="1"/>
    <col min="8" max="8" width="20.7109375" style="1" hidden="1" customWidth="1"/>
    <col min="9" max="10" width="20.7109375" style="1" customWidth="1"/>
    <col min="11" max="12" width="20.7109375" style="1" hidden="1" customWidth="1"/>
    <col min="13" max="13" width="20.7109375" style="3" customWidth="1"/>
    <col min="14" max="14" width="2.140625" style="4" customWidth="1"/>
    <col min="15" max="15" width="12.140625" style="1" hidden="1" customWidth="1"/>
    <col min="16" max="16" width="12.42578125" style="1" hidden="1" customWidth="1"/>
    <col min="17" max="17" width="11.42578125" style="1" hidden="1" customWidth="1"/>
    <col min="18" max="18" width="13.28515625" style="1" hidden="1" customWidth="1"/>
    <col min="19" max="19" width="12.5703125" style="1" hidden="1" customWidth="1"/>
    <col min="20" max="20" width="11.42578125" style="1" hidden="1" customWidth="1"/>
    <col min="21" max="21" width="13.140625" style="1" hidden="1" customWidth="1"/>
    <col min="22" max="22" width="13.28515625" style="1" hidden="1" customWidth="1"/>
    <col min="23" max="23" width="11.42578125" style="1" hidden="1" customWidth="1"/>
    <col min="24" max="24" width="13.5703125" style="1" hidden="1" customWidth="1"/>
    <col min="25" max="25" width="13.140625" style="1" hidden="1" customWidth="1"/>
    <col min="26" max="27" width="11.42578125" style="1" hidden="1" customWidth="1"/>
    <col min="28" max="28" width="14.140625" style="1" hidden="1" customWidth="1"/>
    <col min="29" max="30" width="11.42578125" style="1" hidden="1" customWidth="1"/>
    <col min="31" max="31" width="12.42578125" style="1" hidden="1" customWidth="1"/>
    <col min="32" max="32" width="11.42578125" style="1" hidden="1" customWidth="1"/>
    <col min="33" max="33" width="12" style="1" hidden="1" customWidth="1"/>
    <col min="34" max="34" width="13" style="1" hidden="1" customWidth="1"/>
    <col min="35" max="36" width="11.42578125" style="1" hidden="1" customWidth="1"/>
    <col min="37" max="37" width="12.28515625" style="1" hidden="1" customWidth="1"/>
    <col min="38" max="39" width="11.42578125" style="1" hidden="1" customWidth="1"/>
    <col min="40" max="40" width="12" style="1" hidden="1" customWidth="1"/>
    <col min="41" max="42" width="11.42578125" style="1" hidden="1" customWidth="1"/>
    <col min="43" max="43" width="12.140625" style="1" hidden="1" customWidth="1"/>
    <col min="44" max="47" width="11.42578125" style="1" hidden="1" customWidth="1"/>
    <col min="48" max="50" width="11.42578125" style="1" customWidth="1"/>
    <col min="51" max="51" width="14.140625" style="10" customWidth="1"/>
    <col min="52" max="52" width="15.28515625" style="10" customWidth="1"/>
    <col min="53" max="53" width="14.28515625" style="10" customWidth="1"/>
    <col min="54" max="55" width="9" style="1" customWidth="1"/>
    <col min="56" max="16384" width="9" style="1"/>
  </cols>
  <sheetData>
    <row r="1" spans="1:53" ht="45" customHeight="1" x14ac:dyDescent="0.2">
      <c r="A1" s="173" t="s">
        <v>143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</row>
    <row r="2" spans="1:53" ht="45" customHeight="1" x14ac:dyDescent="0.2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</row>
    <row r="3" spans="1:53" ht="11.2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1"/>
    </row>
    <row r="4" spans="1:53" ht="45" customHeight="1" x14ac:dyDescent="0.2">
      <c r="A4" s="96"/>
      <c r="B4" s="96"/>
      <c r="C4" s="96"/>
      <c r="D4" s="96"/>
      <c r="E4" s="96"/>
      <c r="F4" s="96"/>
      <c r="G4" s="170" t="s">
        <v>149</v>
      </c>
      <c r="H4" s="170"/>
      <c r="I4" s="170"/>
      <c r="J4" s="170"/>
      <c r="K4" s="170"/>
      <c r="L4" s="170"/>
      <c r="M4" s="170"/>
      <c r="N4" s="1"/>
    </row>
    <row r="5" spans="1:53" ht="30.2" customHeight="1" x14ac:dyDescent="0.25">
      <c r="A5" s="107"/>
      <c r="B5" s="115" t="s">
        <v>34</v>
      </c>
      <c r="C5" s="115" t="s">
        <v>36</v>
      </c>
      <c r="D5" s="180" t="s">
        <v>126</v>
      </c>
      <c r="E5" s="107"/>
      <c r="F5" s="107"/>
      <c r="G5" s="107"/>
      <c r="H5" s="107"/>
      <c r="I5" s="107"/>
      <c r="J5" s="107"/>
      <c r="K5" s="107"/>
      <c r="L5" s="107"/>
      <c r="M5" s="107"/>
      <c r="N5" s="117"/>
      <c r="O5" s="182">
        <v>44927</v>
      </c>
      <c r="P5" s="182"/>
      <c r="Q5" s="182"/>
      <c r="R5" s="182">
        <v>44958</v>
      </c>
      <c r="S5" s="182"/>
      <c r="T5" s="182"/>
      <c r="U5" s="182">
        <v>44986</v>
      </c>
      <c r="V5" s="182"/>
      <c r="W5" s="182"/>
      <c r="X5" s="182">
        <v>45017</v>
      </c>
      <c r="Y5" s="182"/>
      <c r="Z5" s="182"/>
      <c r="AA5" s="182">
        <v>45047</v>
      </c>
      <c r="AB5" s="182"/>
      <c r="AC5" s="182"/>
      <c r="AD5" s="182">
        <v>45078</v>
      </c>
      <c r="AE5" s="182"/>
      <c r="AF5" s="182"/>
      <c r="AG5" s="182">
        <v>45108</v>
      </c>
      <c r="AH5" s="182"/>
      <c r="AI5" s="182"/>
      <c r="AJ5" s="182">
        <v>45139</v>
      </c>
      <c r="AK5" s="182"/>
      <c r="AL5" s="182"/>
      <c r="AM5" s="182">
        <v>45170</v>
      </c>
      <c r="AN5" s="182"/>
      <c r="AO5" s="182"/>
      <c r="AP5" s="182">
        <v>45200</v>
      </c>
      <c r="AQ5" s="182"/>
      <c r="AR5" s="182"/>
      <c r="AS5" s="182">
        <v>45231</v>
      </c>
      <c r="AT5" s="182"/>
      <c r="AU5" s="182"/>
      <c r="AV5" s="182">
        <v>45261</v>
      </c>
      <c r="AW5" s="182"/>
      <c r="AX5" s="182"/>
      <c r="AY5" s="183" t="s">
        <v>148</v>
      </c>
      <c r="AZ5" s="183"/>
      <c r="BA5" s="183"/>
    </row>
    <row r="6" spans="1:53" ht="10.5" customHeight="1" thickBot="1" x14ac:dyDescent="0.3">
      <c r="A6" s="107"/>
      <c r="B6" s="115"/>
      <c r="C6" s="115"/>
      <c r="D6" s="181"/>
      <c r="E6" s="107"/>
      <c r="F6" s="107"/>
      <c r="G6" s="107"/>
      <c r="H6" s="107"/>
      <c r="I6" s="107"/>
      <c r="J6" s="107"/>
      <c r="K6" s="107"/>
      <c r="L6" s="107"/>
      <c r="M6" s="107"/>
      <c r="N6" s="117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</row>
    <row r="7" spans="1:53" ht="42.75" customHeight="1" x14ac:dyDescent="0.25">
      <c r="A7" s="119" t="s">
        <v>0</v>
      </c>
      <c r="B7" s="120" t="s">
        <v>1</v>
      </c>
      <c r="C7" s="121" t="s">
        <v>1</v>
      </c>
      <c r="D7" s="181"/>
      <c r="E7" s="107"/>
      <c r="F7" s="116" t="s">
        <v>42</v>
      </c>
      <c r="G7" s="122"/>
      <c r="H7" s="107"/>
      <c r="I7" s="116" t="s">
        <v>117</v>
      </c>
      <c r="J7" s="122"/>
      <c r="K7" s="107"/>
      <c r="L7" s="107"/>
      <c r="M7" s="123" t="s">
        <v>119</v>
      </c>
      <c r="N7" s="117"/>
      <c r="O7" s="140" t="s">
        <v>118</v>
      </c>
      <c r="P7" s="141" t="s">
        <v>117</v>
      </c>
      <c r="Q7" s="142" t="s">
        <v>123</v>
      </c>
      <c r="R7" s="140" t="s">
        <v>118</v>
      </c>
      <c r="S7" s="141" t="s">
        <v>117</v>
      </c>
      <c r="T7" s="142" t="s">
        <v>123</v>
      </c>
      <c r="U7" s="140" t="s">
        <v>118</v>
      </c>
      <c r="V7" s="141" t="s">
        <v>117</v>
      </c>
      <c r="W7" s="142" t="s">
        <v>123</v>
      </c>
      <c r="X7" s="140" t="s">
        <v>118</v>
      </c>
      <c r="Y7" s="141" t="s">
        <v>117</v>
      </c>
      <c r="Z7" s="142" t="s">
        <v>123</v>
      </c>
      <c r="AA7" s="140" t="s">
        <v>118</v>
      </c>
      <c r="AB7" s="141" t="s">
        <v>117</v>
      </c>
      <c r="AC7" s="142" t="s">
        <v>123</v>
      </c>
      <c r="AD7" s="140" t="s">
        <v>118</v>
      </c>
      <c r="AE7" s="141" t="s">
        <v>117</v>
      </c>
      <c r="AF7" s="142" t="s">
        <v>123</v>
      </c>
      <c r="AG7" s="140" t="s">
        <v>118</v>
      </c>
      <c r="AH7" s="141" t="s">
        <v>117</v>
      </c>
      <c r="AI7" s="142" t="s">
        <v>123</v>
      </c>
      <c r="AJ7" s="140" t="s">
        <v>118</v>
      </c>
      <c r="AK7" s="141" t="s">
        <v>117</v>
      </c>
      <c r="AL7" s="142" t="s">
        <v>123</v>
      </c>
      <c r="AM7" s="140" t="s">
        <v>118</v>
      </c>
      <c r="AN7" s="141" t="s">
        <v>117</v>
      </c>
      <c r="AO7" s="142" t="s">
        <v>123</v>
      </c>
      <c r="AP7" s="140" t="s">
        <v>118</v>
      </c>
      <c r="AQ7" s="141" t="s">
        <v>117</v>
      </c>
      <c r="AR7" s="142" t="s">
        <v>123</v>
      </c>
      <c r="AS7" s="140" t="s">
        <v>118</v>
      </c>
      <c r="AT7" s="141" t="s">
        <v>117</v>
      </c>
      <c r="AU7" s="142" t="s">
        <v>123</v>
      </c>
      <c r="AV7" s="140" t="s">
        <v>118</v>
      </c>
      <c r="AW7" s="141" t="s">
        <v>117</v>
      </c>
      <c r="AX7" s="142" t="s">
        <v>123</v>
      </c>
      <c r="AY7" s="140" t="s">
        <v>118</v>
      </c>
      <c r="AZ7" s="141" t="s">
        <v>117</v>
      </c>
      <c r="BA7" s="142" t="s">
        <v>37</v>
      </c>
    </row>
    <row r="8" spans="1:53" s="107" customFormat="1" ht="30.2" customHeight="1" x14ac:dyDescent="0.25">
      <c r="A8" s="124" t="s">
        <v>2</v>
      </c>
      <c r="B8" s="125">
        <v>98128</v>
      </c>
      <c r="C8" s="125">
        <f>28081+Q8</f>
        <v>28551</v>
      </c>
      <c r="D8" s="126">
        <f>B8+C8</f>
        <v>126679</v>
      </c>
      <c r="E8" s="127"/>
      <c r="F8" s="125" t="s">
        <v>43</v>
      </c>
      <c r="G8" s="125">
        <f>+H8+AY8</f>
        <v>94745</v>
      </c>
      <c r="H8" s="125">
        <f>84369</f>
        <v>84369</v>
      </c>
      <c r="I8" s="125" t="s">
        <v>44</v>
      </c>
      <c r="J8" s="128">
        <f>+K8+AZ8</f>
        <v>42141</v>
      </c>
      <c r="K8" s="101">
        <v>41840</v>
      </c>
      <c r="L8" s="102">
        <f>+H8+K8</f>
        <v>126209</v>
      </c>
      <c r="M8" s="103">
        <f>+G8+J8</f>
        <v>136886</v>
      </c>
      <c r="N8" s="104">
        <f>+M8-L8</f>
        <v>10677</v>
      </c>
      <c r="O8" s="105">
        <v>400</v>
      </c>
      <c r="P8" s="106">
        <v>70</v>
      </c>
      <c r="Q8" s="146">
        <f>SUM(O8:P8)</f>
        <v>470</v>
      </c>
      <c r="R8" s="105">
        <f>800+300</f>
        <v>1100</v>
      </c>
      <c r="S8" s="106"/>
      <c r="T8" s="146">
        <f>SUM(R8:S8)</f>
        <v>1100</v>
      </c>
      <c r="U8" s="105">
        <f>900+400</f>
        <v>1300</v>
      </c>
      <c r="V8" s="106"/>
      <c r="W8" s="146">
        <f>SUM(U8:V8)</f>
        <v>1300</v>
      </c>
      <c r="X8" s="105">
        <f>1100+223</f>
        <v>1323</v>
      </c>
      <c r="Y8" s="106">
        <v>130</v>
      </c>
      <c r="Z8" s="146">
        <f>SUM(X8:Y8)</f>
        <v>1453</v>
      </c>
      <c r="AA8" s="105">
        <f>800+530</f>
        <v>1330</v>
      </c>
      <c r="AB8" s="106"/>
      <c r="AC8" s="151">
        <f>SUM(AA8:AB8)</f>
        <v>1330</v>
      </c>
      <c r="AD8" s="105">
        <v>760</v>
      </c>
      <c r="AE8" s="106"/>
      <c r="AF8" s="151">
        <f>SUM(AD8:AE8)</f>
        <v>760</v>
      </c>
      <c r="AG8" s="105">
        <v>1000</v>
      </c>
      <c r="AH8" s="106"/>
      <c r="AI8" s="151">
        <f>SUM(AG8:AH8)</f>
        <v>1000</v>
      </c>
      <c r="AJ8" s="105">
        <f>400+567</f>
        <v>967</v>
      </c>
      <c r="AK8" s="106"/>
      <c r="AL8" s="151">
        <f>SUM(AJ8:AK8)</f>
        <v>967</v>
      </c>
      <c r="AM8" s="105">
        <f>300+300</f>
        <v>600</v>
      </c>
      <c r="AN8" s="106">
        <v>0</v>
      </c>
      <c r="AO8" s="151">
        <f>SUM(AM8:AN8)</f>
        <v>600</v>
      </c>
      <c r="AP8" s="105">
        <f>419+300</f>
        <v>719</v>
      </c>
      <c r="AQ8" s="106">
        <v>101</v>
      </c>
      <c r="AR8" s="151">
        <f>SUM(AP8:AQ8)</f>
        <v>820</v>
      </c>
      <c r="AS8" s="105">
        <f>117+300</f>
        <v>417</v>
      </c>
      <c r="AT8" s="106">
        <v>0</v>
      </c>
      <c r="AU8" s="151">
        <f>SUM(AS8:AT8)</f>
        <v>417</v>
      </c>
      <c r="AV8" s="105">
        <f>300+160</f>
        <v>460</v>
      </c>
      <c r="AW8" s="106">
        <v>0</v>
      </c>
      <c r="AX8" s="151">
        <f>SUM(AV8:AW8)</f>
        <v>460</v>
      </c>
      <c r="AY8" s="105">
        <f>+O8+R8+U8+X8+AA8+AD8+AG8+AJ8+AM8+AP8+AS8+AV8</f>
        <v>10376</v>
      </c>
      <c r="AZ8" s="106">
        <f>+P8+S8+V8+Y8+AB8+AE8+AH8+AK8+AN8+AQ8+AT8+AW8</f>
        <v>301</v>
      </c>
      <c r="BA8" s="151">
        <f>SUM(AY8:AZ8)</f>
        <v>10677</v>
      </c>
    </row>
    <row r="9" spans="1:53" s="107" customFormat="1" ht="30.2" customHeight="1" x14ac:dyDescent="0.25">
      <c r="A9" s="179" t="s">
        <v>4</v>
      </c>
      <c r="B9" s="176">
        <f>157386+4976</f>
        <v>162362</v>
      </c>
      <c r="C9" s="176">
        <f>48335+2200</f>
        <v>50535</v>
      </c>
      <c r="D9" s="177">
        <f>B9+C9</f>
        <v>212897</v>
      </c>
      <c r="E9" s="132"/>
      <c r="F9" s="130" t="s">
        <v>47</v>
      </c>
      <c r="G9" s="130">
        <f t="shared" ref="G9:G45" si="0">+H9+AY9</f>
        <v>144793</v>
      </c>
      <c r="H9" s="130">
        <v>128893</v>
      </c>
      <c r="I9" s="130" t="s">
        <v>48</v>
      </c>
      <c r="J9" s="133">
        <f t="shared" ref="J9:J45" si="1">+K9+AZ9</f>
        <v>70400</v>
      </c>
      <c r="K9" s="101">
        <v>70335</v>
      </c>
      <c r="L9" s="184">
        <f>+K9+K10+K12+H9+H10+H12+H11+K11</f>
        <v>216427</v>
      </c>
      <c r="M9" s="178">
        <f>+G9+G10+G12+J9+J10+J12+G11+J11</f>
        <v>232392</v>
      </c>
      <c r="N9" s="185">
        <f>M9-L9</f>
        <v>15965</v>
      </c>
      <c r="O9" s="105">
        <f>1000+100</f>
        <v>1100</v>
      </c>
      <c r="P9" s="106"/>
      <c r="Q9" s="146">
        <f t="shared" ref="Q9:Q44" si="2">SUM(O9:P9)</f>
        <v>1100</v>
      </c>
      <c r="R9" s="105">
        <f>700+800</f>
        <v>1500</v>
      </c>
      <c r="S9" s="106"/>
      <c r="T9" s="146">
        <f t="shared" ref="T9:T44" si="3">SUM(R9:S9)</f>
        <v>1500</v>
      </c>
      <c r="U9" s="105">
        <f>600+200</f>
        <v>800</v>
      </c>
      <c r="V9" s="106"/>
      <c r="W9" s="146">
        <f t="shared" ref="W9:W44" si="4">SUM(U9:V9)</f>
        <v>800</v>
      </c>
      <c r="X9" s="105">
        <f>1200+1200</f>
        <v>2400</v>
      </c>
      <c r="Y9" s="106"/>
      <c r="Z9" s="146">
        <f t="shared" ref="Z9:Z44" si="5">SUM(X9:Y9)</f>
        <v>2400</v>
      </c>
      <c r="AA9" s="105">
        <f>1380+800</f>
        <v>2180</v>
      </c>
      <c r="AB9" s="106">
        <v>65</v>
      </c>
      <c r="AC9" s="151">
        <f t="shared" ref="AC9:AC44" si="6">SUM(AA9:AB9)</f>
        <v>2245</v>
      </c>
      <c r="AD9" s="105">
        <v>1600</v>
      </c>
      <c r="AE9" s="106"/>
      <c r="AF9" s="151">
        <f t="shared" ref="AF9:AF44" si="7">SUM(AD9:AE9)</f>
        <v>1600</v>
      </c>
      <c r="AG9" s="105">
        <v>320</v>
      </c>
      <c r="AH9" s="106"/>
      <c r="AI9" s="151">
        <f t="shared" ref="AI9:AI44" si="8">SUM(AG9:AH9)</f>
        <v>320</v>
      </c>
      <c r="AJ9" s="105">
        <v>800</v>
      </c>
      <c r="AK9" s="106"/>
      <c r="AL9" s="151">
        <f t="shared" ref="AL9:AL44" si="9">SUM(AJ9:AK9)</f>
        <v>800</v>
      </c>
      <c r="AM9" s="105">
        <v>1400</v>
      </c>
      <c r="AN9" s="106">
        <v>0</v>
      </c>
      <c r="AO9" s="151">
        <f t="shared" ref="AO9:AO44" si="10">SUM(AM9:AN9)</f>
        <v>1400</v>
      </c>
      <c r="AP9" s="105">
        <v>1000</v>
      </c>
      <c r="AQ9" s="106">
        <v>0</v>
      </c>
      <c r="AR9" s="151">
        <f t="shared" ref="AR9:AR44" si="11">SUM(AP9:AQ9)</f>
        <v>1000</v>
      </c>
      <c r="AS9" s="105">
        <v>1100</v>
      </c>
      <c r="AT9" s="106">
        <v>0</v>
      </c>
      <c r="AU9" s="151">
        <f t="shared" ref="AU9:AU44" si="12">SUM(AS9:AT9)</f>
        <v>1100</v>
      </c>
      <c r="AV9" s="105">
        <f>100+1600</f>
        <v>1700</v>
      </c>
      <c r="AW9" s="106">
        <v>0</v>
      </c>
      <c r="AX9" s="151">
        <f t="shared" ref="AX9:AX44" si="13">SUM(AV9:AW9)</f>
        <v>1700</v>
      </c>
      <c r="AY9" s="105">
        <f t="shared" ref="AY9:AY44" si="14">+O9+R9+U9+X9+AA9+AD9+AG9+AJ9+AM9+AP9+AS9+AV9</f>
        <v>15900</v>
      </c>
      <c r="AZ9" s="106">
        <f t="shared" ref="AZ9:AZ44" si="15">+P9+S9+V9+Y9+AB9+AE9+AH9+AK9+AN9+AQ9+AT9+AW9</f>
        <v>65</v>
      </c>
      <c r="BA9" s="151">
        <f t="shared" ref="BA9:BA44" si="16">SUM(AY9:AZ9)</f>
        <v>15965</v>
      </c>
    </row>
    <row r="10" spans="1:53" s="107" customFormat="1" ht="30.2" customHeight="1" x14ac:dyDescent="0.25">
      <c r="A10" s="179"/>
      <c r="B10" s="176"/>
      <c r="C10" s="176"/>
      <c r="D10" s="177"/>
      <c r="E10" s="132"/>
      <c r="F10" s="130" t="s">
        <v>49</v>
      </c>
      <c r="G10" s="130">
        <f t="shared" si="0"/>
        <v>5094</v>
      </c>
      <c r="H10" s="130">
        <v>5094</v>
      </c>
      <c r="I10" s="130" t="s">
        <v>50</v>
      </c>
      <c r="J10" s="133">
        <f t="shared" si="1"/>
        <v>1399</v>
      </c>
      <c r="K10" s="101">
        <v>1399</v>
      </c>
      <c r="L10" s="184"/>
      <c r="M10" s="178"/>
      <c r="N10" s="185"/>
      <c r="O10" s="105"/>
      <c r="P10" s="106"/>
      <c r="Q10" s="146">
        <f t="shared" si="2"/>
        <v>0</v>
      </c>
      <c r="R10" s="105"/>
      <c r="S10" s="106"/>
      <c r="T10" s="146">
        <f t="shared" si="3"/>
        <v>0</v>
      </c>
      <c r="U10" s="105"/>
      <c r="V10" s="106"/>
      <c r="W10" s="146">
        <f t="shared" si="4"/>
        <v>0</v>
      </c>
      <c r="X10" s="105"/>
      <c r="Y10" s="106"/>
      <c r="Z10" s="146">
        <f t="shared" si="5"/>
        <v>0</v>
      </c>
      <c r="AA10" s="105"/>
      <c r="AB10" s="106"/>
      <c r="AC10" s="151">
        <f t="shared" si="6"/>
        <v>0</v>
      </c>
      <c r="AD10" s="105"/>
      <c r="AE10" s="106"/>
      <c r="AF10" s="151">
        <f t="shared" si="7"/>
        <v>0</v>
      </c>
      <c r="AG10" s="105"/>
      <c r="AH10" s="106"/>
      <c r="AI10" s="151">
        <f t="shared" si="8"/>
        <v>0</v>
      </c>
      <c r="AJ10" s="105"/>
      <c r="AK10" s="106"/>
      <c r="AL10" s="151">
        <f t="shared" si="9"/>
        <v>0</v>
      </c>
      <c r="AM10" s="105">
        <v>0</v>
      </c>
      <c r="AN10" s="106">
        <v>0</v>
      </c>
      <c r="AO10" s="151">
        <f t="shared" si="10"/>
        <v>0</v>
      </c>
      <c r="AP10" s="105">
        <v>0</v>
      </c>
      <c r="AQ10" s="106">
        <v>0</v>
      </c>
      <c r="AR10" s="151">
        <f t="shared" si="11"/>
        <v>0</v>
      </c>
      <c r="AS10" s="105">
        <v>0</v>
      </c>
      <c r="AT10" s="106">
        <v>0</v>
      </c>
      <c r="AU10" s="151">
        <f t="shared" si="12"/>
        <v>0</v>
      </c>
      <c r="AV10" s="105">
        <v>0</v>
      </c>
      <c r="AW10" s="106">
        <v>0</v>
      </c>
      <c r="AX10" s="151">
        <f t="shared" si="13"/>
        <v>0</v>
      </c>
      <c r="AY10" s="105">
        <f t="shared" si="14"/>
        <v>0</v>
      </c>
      <c r="AZ10" s="106">
        <f t="shared" si="15"/>
        <v>0</v>
      </c>
      <c r="BA10" s="151">
        <f t="shared" si="16"/>
        <v>0</v>
      </c>
    </row>
    <row r="11" spans="1:53" s="107" customFormat="1" ht="30.2" customHeight="1" x14ac:dyDescent="0.25">
      <c r="A11" s="179"/>
      <c r="B11" s="176"/>
      <c r="C11" s="176"/>
      <c r="D11" s="177"/>
      <c r="E11" s="132"/>
      <c r="F11" s="130" t="s">
        <v>45</v>
      </c>
      <c r="G11" s="130">
        <f t="shared" ref="G11" si="17">+H11+AY11</f>
        <v>3068</v>
      </c>
      <c r="H11" s="130">
        <v>3068</v>
      </c>
      <c r="I11" s="130" t="s">
        <v>46</v>
      </c>
      <c r="J11" s="133">
        <f>+K11+AZ11</f>
        <v>462</v>
      </c>
      <c r="K11" s="101">
        <v>462</v>
      </c>
      <c r="L11" s="184"/>
      <c r="M11" s="178"/>
      <c r="N11" s="185"/>
      <c r="O11" s="105"/>
      <c r="P11" s="106"/>
      <c r="Q11" s="146">
        <f t="shared" ref="Q11" si="18">SUM(O11:P11)</f>
        <v>0</v>
      </c>
      <c r="R11" s="105"/>
      <c r="S11" s="106"/>
      <c r="T11" s="146">
        <f t="shared" ref="T11" si="19">SUM(R11:S11)</f>
        <v>0</v>
      </c>
      <c r="U11" s="105"/>
      <c r="V11" s="106"/>
      <c r="W11" s="146">
        <f t="shared" ref="W11" si="20">SUM(U11:V11)</f>
        <v>0</v>
      </c>
      <c r="X11" s="105"/>
      <c r="Y11" s="106"/>
      <c r="Z11" s="146">
        <f t="shared" ref="Z11" si="21">SUM(X11:Y11)</f>
        <v>0</v>
      </c>
      <c r="AA11" s="105"/>
      <c r="AB11" s="106"/>
      <c r="AC11" s="151">
        <f t="shared" ref="AC11" si="22">SUM(AA11:AB11)</f>
        <v>0</v>
      </c>
      <c r="AD11" s="105"/>
      <c r="AE11" s="106"/>
      <c r="AF11" s="151">
        <f t="shared" ref="AF11" si="23">SUM(AD11:AE11)</f>
        <v>0</v>
      </c>
      <c r="AG11" s="105"/>
      <c r="AH11" s="106"/>
      <c r="AI11" s="151">
        <f t="shared" ref="AI11" si="24">SUM(AG11:AH11)</f>
        <v>0</v>
      </c>
      <c r="AJ11" s="105"/>
      <c r="AK11" s="106"/>
      <c r="AL11" s="151">
        <f t="shared" si="9"/>
        <v>0</v>
      </c>
      <c r="AM11" s="105">
        <v>0</v>
      </c>
      <c r="AN11" s="106">
        <v>0</v>
      </c>
      <c r="AO11" s="151">
        <f t="shared" si="10"/>
        <v>0</v>
      </c>
      <c r="AP11" s="105">
        <v>0</v>
      </c>
      <c r="AQ11" s="106">
        <v>0</v>
      </c>
      <c r="AR11" s="151">
        <f t="shared" si="11"/>
        <v>0</v>
      </c>
      <c r="AS11" s="105">
        <v>0</v>
      </c>
      <c r="AT11" s="106">
        <v>0</v>
      </c>
      <c r="AU11" s="151">
        <f t="shared" si="12"/>
        <v>0</v>
      </c>
      <c r="AV11" s="105">
        <v>0</v>
      </c>
      <c r="AW11" s="106">
        <v>0</v>
      </c>
      <c r="AX11" s="151">
        <f t="shared" si="13"/>
        <v>0</v>
      </c>
      <c r="AY11" s="105">
        <f t="shared" si="14"/>
        <v>0</v>
      </c>
      <c r="AZ11" s="106">
        <f t="shared" si="15"/>
        <v>0</v>
      </c>
      <c r="BA11" s="151">
        <f t="shared" si="16"/>
        <v>0</v>
      </c>
    </row>
    <row r="12" spans="1:53" s="107" customFormat="1" ht="30.2" customHeight="1" x14ac:dyDescent="0.25">
      <c r="A12" s="179"/>
      <c r="B12" s="176"/>
      <c r="C12" s="176"/>
      <c r="D12" s="177"/>
      <c r="E12" s="132"/>
      <c r="F12" s="130" t="s">
        <v>75</v>
      </c>
      <c r="G12" s="130">
        <f t="shared" si="0"/>
        <v>4176</v>
      </c>
      <c r="H12" s="130">
        <v>4176</v>
      </c>
      <c r="I12" s="130" t="s">
        <v>76</v>
      </c>
      <c r="J12" s="133">
        <f t="shared" si="1"/>
        <v>3000</v>
      </c>
      <c r="K12" s="101">
        <v>3000</v>
      </c>
      <c r="L12" s="184"/>
      <c r="M12" s="178"/>
      <c r="N12" s="185"/>
      <c r="O12" s="105"/>
      <c r="P12" s="106"/>
      <c r="Q12" s="146">
        <f t="shared" si="2"/>
        <v>0</v>
      </c>
      <c r="R12" s="105"/>
      <c r="S12" s="106"/>
      <c r="T12" s="146">
        <f t="shared" si="3"/>
        <v>0</v>
      </c>
      <c r="U12" s="105"/>
      <c r="V12" s="106"/>
      <c r="W12" s="146">
        <f t="shared" si="4"/>
        <v>0</v>
      </c>
      <c r="X12" s="105"/>
      <c r="Y12" s="106"/>
      <c r="Z12" s="146">
        <f t="shared" si="5"/>
        <v>0</v>
      </c>
      <c r="AA12" s="105"/>
      <c r="AB12" s="106"/>
      <c r="AC12" s="151">
        <f t="shared" si="6"/>
        <v>0</v>
      </c>
      <c r="AD12" s="105"/>
      <c r="AE12" s="106"/>
      <c r="AF12" s="151">
        <f t="shared" si="7"/>
        <v>0</v>
      </c>
      <c r="AG12" s="105"/>
      <c r="AH12" s="106"/>
      <c r="AI12" s="151">
        <f t="shared" si="8"/>
        <v>0</v>
      </c>
      <c r="AJ12" s="105"/>
      <c r="AK12" s="106"/>
      <c r="AL12" s="151">
        <f t="shared" si="9"/>
        <v>0</v>
      </c>
      <c r="AM12" s="105">
        <v>0</v>
      </c>
      <c r="AN12" s="106">
        <v>0</v>
      </c>
      <c r="AO12" s="151">
        <f t="shared" si="10"/>
        <v>0</v>
      </c>
      <c r="AP12" s="105">
        <v>0</v>
      </c>
      <c r="AQ12" s="106">
        <v>0</v>
      </c>
      <c r="AR12" s="151">
        <f t="shared" si="11"/>
        <v>0</v>
      </c>
      <c r="AS12" s="105">
        <v>0</v>
      </c>
      <c r="AT12" s="106">
        <v>0</v>
      </c>
      <c r="AU12" s="151">
        <f t="shared" si="12"/>
        <v>0</v>
      </c>
      <c r="AV12" s="105">
        <v>0</v>
      </c>
      <c r="AW12" s="106">
        <v>0</v>
      </c>
      <c r="AX12" s="151">
        <f t="shared" si="13"/>
        <v>0</v>
      </c>
      <c r="AY12" s="105">
        <f t="shared" si="14"/>
        <v>0</v>
      </c>
      <c r="AZ12" s="106">
        <f t="shared" si="15"/>
        <v>0</v>
      </c>
      <c r="BA12" s="151">
        <f t="shared" si="16"/>
        <v>0</v>
      </c>
    </row>
    <row r="13" spans="1:53" s="107" customFormat="1" ht="30.2" customHeight="1" x14ac:dyDescent="0.25">
      <c r="A13" s="129" t="s">
        <v>5</v>
      </c>
      <c r="B13" s="130">
        <v>4995</v>
      </c>
      <c r="C13" s="130">
        <v>727</v>
      </c>
      <c r="D13" s="131">
        <f t="shared" ref="D13:D44" si="25">B13+C13</f>
        <v>5722</v>
      </c>
      <c r="E13" s="132"/>
      <c r="F13" s="130" t="s">
        <v>51</v>
      </c>
      <c r="G13" s="130">
        <f t="shared" si="0"/>
        <v>4395</v>
      </c>
      <c r="H13" s="130">
        <v>4395</v>
      </c>
      <c r="I13" s="130" t="s">
        <v>52</v>
      </c>
      <c r="J13" s="133">
        <f t="shared" si="1"/>
        <v>1603</v>
      </c>
      <c r="K13" s="101">
        <v>1327</v>
      </c>
      <c r="L13" s="102">
        <f t="shared" ref="L13:L45" si="26">+H13+K13</f>
        <v>5722</v>
      </c>
      <c r="M13" s="103">
        <f t="shared" ref="M13:M28" si="27">+G13+J13</f>
        <v>5998</v>
      </c>
      <c r="N13" s="104">
        <f t="shared" ref="N13:N52" si="28">+M13-L13</f>
        <v>276</v>
      </c>
      <c r="O13" s="105"/>
      <c r="P13" s="106"/>
      <c r="Q13" s="146">
        <f t="shared" si="2"/>
        <v>0</v>
      </c>
      <c r="R13" s="105"/>
      <c r="S13" s="106"/>
      <c r="T13" s="146">
        <f t="shared" si="3"/>
        <v>0</v>
      </c>
      <c r="U13" s="105"/>
      <c r="V13" s="106"/>
      <c r="W13" s="146">
        <f t="shared" si="4"/>
        <v>0</v>
      </c>
      <c r="X13" s="105"/>
      <c r="Y13" s="106">
        <f>136+10</f>
        <v>146</v>
      </c>
      <c r="Z13" s="146">
        <f t="shared" si="5"/>
        <v>146</v>
      </c>
      <c r="AA13" s="105"/>
      <c r="AB13" s="106"/>
      <c r="AC13" s="151">
        <f t="shared" si="6"/>
        <v>0</v>
      </c>
      <c r="AD13" s="105"/>
      <c r="AE13" s="106"/>
      <c r="AF13" s="151">
        <f t="shared" si="7"/>
        <v>0</v>
      </c>
      <c r="AG13" s="105"/>
      <c r="AH13" s="106"/>
      <c r="AI13" s="151">
        <f t="shared" si="8"/>
        <v>0</v>
      </c>
      <c r="AJ13" s="105"/>
      <c r="AK13" s="106"/>
      <c r="AL13" s="151">
        <f t="shared" si="9"/>
        <v>0</v>
      </c>
      <c r="AM13" s="105">
        <v>0</v>
      </c>
      <c r="AN13" s="106">
        <v>130</v>
      </c>
      <c r="AO13" s="151">
        <f t="shared" si="10"/>
        <v>130</v>
      </c>
      <c r="AP13" s="105">
        <v>0</v>
      </c>
      <c r="AQ13" s="106">
        <v>0</v>
      </c>
      <c r="AR13" s="151">
        <f t="shared" si="11"/>
        <v>0</v>
      </c>
      <c r="AS13" s="105">
        <v>0</v>
      </c>
      <c r="AT13" s="106">
        <v>0</v>
      </c>
      <c r="AU13" s="151">
        <f t="shared" si="12"/>
        <v>0</v>
      </c>
      <c r="AV13" s="105">
        <v>0</v>
      </c>
      <c r="AW13" s="106">
        <v>0</v>
      </c>
      <c r="AX13" s="151">
        <f t="shared" si="13"/>
        <v>0</v>
      </c>
      <c r="AY13" s="105">
        <f t="shared" si="14"/>
        <v>0</v>
      </c>
      <c r="AZ13" s="106">
        <f t="shared" si="15"/>
        <v>276</v>
      </c>
      <c r="BA13" s="151">
        <f t="shared" si="16"/>
        <v>276</v>
      </c>
    </row>
    <row r="14" spans="1:53" s="107" customFormat="1" ht="30.2" customHeight="1" x14ac:dyDescent="0.25">
      <c r="A14" s="129" t="s">
        <v>6</v>
      </c>
      <c r="B14" s="130">
        <v>3393</v>
      </c>
      <c r="C14" s="130">
        <v>1310</v>
      </c>
      <c r="D14" s="131">
        <f t="shared" si="25"/>
        <v>4703</v>
      </c>
      <c r="E14" s="132"/>
      <c r="F14" s="130" t="s">
        <v>55</v>
      </c>
      <c r="G14" s="130">
        <f t="shared" si="0"/>
        <v>2930</v>
      </c>
      <c r="H14" s="130">
        <v>2930</v>
      </c>
      <c r="I14" s="130" t="s">
        <v>56</v>
      </c>
      <c r="J14" s="133">
        <f t="shared" si="1"/>
        <v>1773</v>
      </c>
      <c r="K14" s="101">
        <v>1773</v>
      </c>
      <c r="L14" s="102">
        <f t="shared" si="26"/>
        <v>4703</v>
      </c>
      <c r="M14" s="103">
        <f t="shared" si="27"/>
        <v>4703</v>
      </c>
      <c r="N14" s="104">
        <f t="shared" si="28"/>
        <v>0</v>
      </c>
      <c r="O14" s="105"/>
      <c r="P14" s="106"/>
      <c r="Q14" s="146">
        <f t="shared" si="2"/>
        <v>0</v>
      </c>
      <c r="R14" s="105"/>
      <c r="S14" s="106"/>
      <c r="T14" s="146">
        <f t="shared" si="3"/>
        <v>0</v>
      </c>
      <c r="U14" s="105"/>
      <c r="V14" s="106"/>
      <c r="W14" s="146">
        <f t="shared" si="4"/>
        <v>0</v>
      </c>
      <c r="X14" s="105"/>
      <c r="Y14" s="106"/>
      <c r="Z14" s="146">
        <f t="shared" si="5"/>
        <v>0</v>
      </c>
      <c r="AA14" s="105"/>
      <c r="AB14" s="106"/>
      <c r="AC14" s="151">
        <f t="shared" si="6"/>
        <v>0</v>
      </c>
      <c r="AD14" s="105"/>
      <c r="AE14" s="106"/>
      <c r="AF14" s="151">
        <f t="shared" si="7"/>
        <v>0</v>
      </c>
      <c r="AG14" s="105"/>
      <c r="AH14" s="106"/>
      <c r="AI14" s="151">
        <f t="shared" si="8"/>
        <v>0</v>
      </c>
      <c r="AJ14" s="105"/>
      <c r="AK14" s="106"/>
      <c r="AL14" s="151">
        <f t="shared" si="9"/>
        <v>0</v>
      </c>
      <c r="AM14" s="105">
        <v>0</v>
      </c>
      <c r="AN14" s="106">
        <v>0</v>
      </c>
      <c r="AO14" s="151">
        <f t="shared" si="10"/>
        <v>0</v>
      </c>
      <c r="AP14" s="105">
        <v>0</v>
      </c>
      <c r="AQ14" s="106">
        <v>0</v>
      </c>
      <c r="AR14" s="151">
        <f t="shared" si="11"/>
        <v>0</v>
      </c>
      <c r="AS14" s="105">
        <v>0</v>
      </c>
      <c r="AT14" s="106">
        <v>0</v>
      </c>
      <c r="AU14" s="151">
        <f t="shared" si="12"/>
        <v>0</v>
      </c>
      <c r="AV14" s="105">
        <v>0</v>
      </c>
      <c r="AW14" s="106">
        <v>0</v>
      </c>
      <c r="AX14" s="151">
        <f t="shared" si="13"/>
        <v>0</v>
      </c>
      <c r="AY14" s="105">
        <f t="shared" si="14"/>
        <v>0</v>
      </c>
      <c r="AZ14" s="106">
        <f t="shared" si="15"/>
        <v>0</v>
      </c>
      <c r="BA14" s="151">
        <f t="shared" si="16"/>
        <v>0</v>
      </c>
    </row>
    <row r="15" spans="1:53" s="107" customFormat="1" ht="30.2" customHeight="1" x14ac:dyDescent="0.25">
      <c r="A15" s="129" t="s">
        <v>7</v>
      </c>
      <c r="B15" s="130">
        <v>4195</v>
      </c>
      <c r="C15" s="130">
        <v>201</v>
      </c>
      <c r="D15" s="131">
        <f t="shared" si="25"/>
        <v>4396</v>
      </c>
      <c r="E15" s="132"/>
      <c r="F15" s="130" t="s">
        <v>57</v>
      </c>
      <c r="G15" s="130">
        <f t="shared" si="0"/>
        <v>3395</v>
      </c>
      <c r="H15" s="130">
        <v>3395</v>
      </c>
      <c r="I15" s="130" t="s">
        <v>58</v>
      </c>
      <c r="J15" s="133">
        <f t="shared" si="1"/>
        <v>1001</v>
      </c>
      <c r="K15" s="101">
        <v>1001</v>
      </c>
      <c r="L15" s="102">
        <f t="shared" si="26"/>
        <v>4396</v>
      </c>
      <c r="M15" s="103">
        <f t="shared" si="27"/>
        <v>4396</v>
      </c>
      <c r="N15" s="104">
        <f t="shared" si="28"/>
        <v>0</v>
      </c>
      <c r="O15" s="105"/>
      <c r="P15" s="106"/>
      <c r="Q15" s="146">
        <f t="shared" si="2"/>
        <v>0</v>
      </c>
      <c r="R15" s="105"/>
      <c r="S15" s="106"/>
      <c r="T15" s="146">
        <f t="shared" si="3"/>
        <v>0</v>
      </c>
      <c r="U15" s="105"/>
      <c r="V15" s="106"/>
      <c r="W15" s="146">
        <f t="shared" si="4"/>
        <v>0</v>
      </c>
      <c r="X15" s="105"/>
      <c r="Y15" s="106"/>
      <c r="Z15" s="146">
        <f t="shared" si="5"/>
        <v>0</v>
      </c>
      <c r="AA15" s="105"/>
      <c r="AB15" s="106"/>
      <c r="AC15" s="151">
        <f t="shared" si="6"/>
        <v>0</v>
      </c>
      <c r="AD15" s="105"/>
      <c r="AE15" s="106"/>
      <c r="AF15" s="151">
        <f t="shared" si="7"/>
        <v>0</v>
      </c>
      <c r="AG15" s="105"/>
      <c r="AH15" s="106"/>
      <c r="AI15" s="151">
        <f t="shared" si="8"/>
        <v>0</v>
      </c>
      <c r="AJ15" s="105"/>
      <c r="AK15" s="106"/>
      <c r="AL15" s="151">
        <f t="shared" si="9"/>
        <v>0</v>
      </c>
      <c r="AM15" s="105">
        <v>0</v>
      </c>
      <c r="AN15" s="106">
        <v>0</v>
      </c>
      <c r="AO15" s="151">
        <f t="shared" si="10"/>
        <v>0</v>
      </c>
      <c r="AP15" s="105">
        <v>0</v>
      </c>
      <c r="AQ15" s="106">
        <v>0</v>
      </c>
      <c r="AR15" s="151">
        <f t="shared" si="11"/>
        <v>0</v>
      </c>
      <c r="AS15" s="105">
        <v>0</v>
      </c>
      <c r="AT15" s="106">
        <v>0</v>
      </c>
      <c r="AU15" s="151">
        <f t="shared" si="12"/>
        <v>0</v>
      </c>
      <c r="AV15" s="105">
        <v>0</v>
      </c>
      <c r="AW15" s="106">
        <v>0</v>
      </c>
      <c r="AX15" s="151">
        <f t="shared" si="13"/>
        <v>0</v>
      </c>
      <c r="AY15" s="105">
        <f t="shared" si="14"/>
        <v>0</v>
      </c>
      <c r="AZ15" s="106">
        <f t="shared" si="15"/>
        <v>0</v>
      </c>
      <c r="BA15" s="151">
        <f t="shared" si="16"/>
        <v>0</v>
      </c>
    </row>
    <row r="16" spans="1:53" s="107" customFormat="1" ht="30.2" customHeight="1" x14ac:dyDescent="0.25">
      <c r="A16" s="129" t="s">
        <v>8</v>
      </c>
      <c r="B16" s="130">
        <v>2572</v>
      </c>
      <c r="C16" s="130">
        <v>439</v>
      </c>
      <c r="D16" s="131">
        <f t="shared" si="25"/>
        <v>3011</v>
      </c>
      <c r="E16" s="132"/>
      <c r="F16" s="130" t="s">
        <v>59</v>
      </c>
      <c r="G16" s="130">
        <f t="shared" si="0"/>
        <v>2200</v>
      </c>
      <c r="H16" s="130">
        <v>2200</v>
      </c>
      <c r="I16" s="130" t="s">
        <v>60</v>
      </c>
      <c r="J16" s="133">
        <f t="shared" si="1"/>
        <v>811</v>
      </c>
      <c r="K16" s="101">
        <v>811</v>
      </c>
      <c r="L16" s="102">
        <f t="shared" si="26"/>
        <v>3011</v>
      </c>
      <c r="M16" s="103">
        <f t="shared" si="27"/>
        <v>3011</v>
      </c>
      <c r="N16" s="104">
        <f t="shared" si="28"/>
        <v>0</v>
      </c>
      <c r="O16" s="105"/>
      <c r="P16" s="106"/>
      <c r="Q16" s="146">
        <f t="shared" si="2"/>
        <v>0</v>
      </c>
      <c r="R16" s="105"/>
      <c r="S16" s="106"/>
      <c r="T16" s="146">
        <f t="shared" si="3"/>
        <v>0</v>
      </c>
      <c r="U16" s="105"/>
      <c r="V16" s="106"/>
      <c r="W16" s="146">
        <f t="shared" si="4"/>
        <v>0</v>
      </c>
      <c r="X16" s="105"/>
      <c r="Y16" s="106"/>
      <c r="Z16" s="146">
        <f t="shared" si="5"/>
        <v>0</v>
      </c>
      <c r="AA16" s="105"/>
      <c r="AB16" s="106"/>
      <c r="AC16" s="151">
        <f t="shared" si="6"/>
        <v>0</v>
      </c>
      <c r="AD16" s="105"/>
      <c r="AE16" s="106"/>
      <c r="AF16" s="151">
        <f t="shared" si="7"/>
        <v>0</v>
      </c>
      <c r="AG16" s="105"/>
      <c r="AH16" s="106"/>
      <c r="AI16" s="151">
        <f t="shared" si="8"/>
        <v>0</v>
      </c>
      <c r="AJ16" s="105"/>
      <c r="AK16" s="106"/>
      <c r="AL16" s="151">
        <f t="shared" si="9"/>
        <v>0</v>
      </c>
      <c r="AM16" s="105">
        <v>0</v>
      </c>
      <c r="AN16" s="106">
        <v>0</v>
      </c>
      <c r="AO16" s="151">
        <f t="shared" si="10"/>
        <v>0</v>
      </c>
      <c r="AP16" s="105">
        <v>0</v>
      </c>
      <c r="AQ16" s="106">
        <v>0</v>
      </c>
      <c r="AR16" s="151">
        <f t="shared" si="11"/>
        <v>0</v>
      </c>
      <c r="AS16" s="105">
        <v>0</v>
      </c>
      <c r="AT16" s="106">
        <v>0</v>
      </c>
      <c r="AU16" s="151">
        <f t="shared" si="12"/>
        <v>0</v>
      </c>
      <c r="AV16" s="105">
        <v>0</v>
      </c>
      <c r="AW16" s="106">
        <v>0</v>
      </c>
      <c r="AX16" s="151">
        <f t="shared" si="13"/>
        <v>0</v>
      </c>
      <c r="AY16" s="105">
        <f t="shared" si="14"/>
        <v>0</v>
      </c>
      <c r="AZ16" s="106">
        <f t="shared" si="15"/>
        <v>0</v>
      </c>
      <c r="BA16" s="151">
        <f t="shared" si="16"/>
        <v>0</v>
      </c>
    </row>
    <row r="17" spans="1:53" s="107" customFormat="1" ht="30.2" customHeight="1" x14ac:dyDescent="0.25">
      <c r="A17" s="129" t="s">
        <v>9</v>
      </c>
      <c r="B17" s="130">
        <v>2998</v>
      </c>
      <c r="C17" s="130">
        <v>200</v>
      </c>
      <c r="D17" s="131">
        <f t="shared" si="25"/>
        <v>3198</v>
      </c>
      <c r="E17" s="132"/>
      <c r="F17" s="130" t="s">
        <v>61</v>
      </c>
      <c r="G17" s="130">
        <f t="shared" si="0"/>
        <v>2398</v>
      </c>
      <c r="H17" s="130">
        <v>2398</v>
      </c>
      <c r="I17" s="130" t="s">
        <v>62</v>
      </c>
      <c r="J17" s="133">
        <f t="shared" si="1"/>
        <v>800</v>
      </c>
      <c r="K17" s="101">
        <v>800</v>
      </c>
      <c r="L17" s="102">
        <f t="shared" si="26"/>
        <v>3198</v>
      </c>
      <c r="M17" s="103">
        <f t="shared" si="27"/>
        <v>3198</v>
      </c>
      <c r="N17" s="104">
        <f t="shared" si="28"/>
        <v>0</v>
      </c>
      <c r="O17" s="105"/>
      <c r="P17" s="106"/>
      <c r="Q17" s="146">
        <f t="shared" si="2"/>
        <v>0</v>
      </c>
      <c r="R17" s="105"/>
      <c r="S17" s="106"/>
      <c r="T17" s="146">
        <f t="shared" si="3"/>
        <v>0</v>
      </c>
      <c r="U17" s="105"/>
      <c r="V17" s="106"/>
      <c r="W17" s="146">
        <f t="shared" si="4"/>
        <v>0</v>
      </c>
      <c r="X17" s="105"/>
      <c r="Y17" s="106"/>
      <c r="Z17" s="146">
        <f t="shared" si="5"/>
        <v>0</v>
      </c>
      <c r="AA17" s="105"/>
      <c r="AB17" s="106"/>
      <c r="AC17" s="151">
        <f t="shared" si="6"/>
        <v>0</v>
      </c>
      <c r="AD17" s="105"/>
      <c r="AE17" s="106"/>
      <c r="AF17" s="151">
        <f t="shared" si="7"/>
        <v>0</v>
      </c>
      <c r="AG17" s="105"/>
      <c r="AH17" s="106"/>
      <c r="AI17" s="151">
        <f t="shared" si="8"/>
        <v>0</v>
      </c>
      <c r="AJ17" s="105"/>
      <c r="AK17" s="106"/>
      <c r="AL17" s="151">
        <f t="shared" si="9"/>
        <v>0</v>
      </c>
      <c r="AM17" s="105">
        <v>0</v>
      </c>
      <c r="AN17" s="106">
        <v>0</v>
      </c>
      <c r="AO17" s="151">
        <f t="shared" si="10"/>
        <v>0</v>
      </c>
      <c r="AP17" s="105">
        <v>0</v>
      </c>
      <c r="AQ17" s="106">
        <v>0</v>
      </c>
      <c r="AR17" s="151">
        <f t="shared" si="11"/>
        <v>0</v>
      </c>
      <c r="AS17" s="105">
        <v>0</v>
      </c>
      <c r="AT17" s="106">
        <v>0</v>
      </c>
      <c r="AU17" s="151">
        <f t="shared" si="12"/>
        <v>0</v>
      </c>
      <c r="AV17" s="105">
        <v>0</v>
      </c>
      <c r="AW17" s="106">
        <v>0</v>
      </c>
      <c r="AX17" s="151">
        <f t="shared" si="13"/>
        <v>0</v>
      </c>
      <c r="AY17" s="105">
        <f t="shared" si="14"/>
        <v>0</v>
      </c>
      <c r="AZ17" s="106">
        <f t="shared" si="15"/>
        <v>0</v>
      </c>
      <c r="BA17" s="151">
        <f t="shared" si="16"/>
        <v>0</v>
      </c>
    </row>
    <row r="18" spans="1:53" s="107" customFormat="1" ht="30.2" customHeight="1" x14ac:dyDescent="0.25">
      <c r="A18" s="129" t="s">
        <v>10</v>
      </c>
      <c r="B18" s="130">
        <v>8972</v>
      </c>
      <c r="C18" s="130">
        <v>2165</v>
      </c>
      <c r="D18" s="131">
        <f t="shared" si="25"/>
        <v>11137</v>
      </c>
      <c r="E18" s="132"/>
      <c r="F18" s="130" t="s">
        <v>63</v>
      </c>
      <c r="G18" s="130">
        <f t="shared" si="0"/>
        <v>7508</v>
      </c>
      <c r="H18" s="130">
        <v>7369</v>
      </c>
      <c r="I18" s="130" t="s">
        <v>64</v>
      </c>
      <c r="J18" s="133">
        <f t="shared" si="1"/>
        <v>3768</v>
      </c>
      <c r="K18" s="101">
        <v>3768</v>
      </c>
      <c r="L18" s="102">
        <f t="shared" si="26"/>
        <v>11137</v>
      </c>
      <c r="M18" s="103">
        <f t="shared" si="27"/>
        <v>11276</v>
      </c>
      <c r="N18" s="104">
        <f t="shared" si="28"/>
        <v>139</v>
      </c>
      <c r="O18" s="105"/>
      <c r="P18" s="106"/>
      <c r="Q18" s="146">
        <f t="shared" si="2"/>
        <v>0</v>
      </c>
      <c r="R18" s="105"/>
      <c r="S18" s="106"/>
      <c r="T18" s="146">
        <f t="shared" si="3"/>
        <v>0</v>
      </c>
      <c r="U18" s="105"/>
      <c r="V18" s="106"/>
      <c r="W18" s="146">
        <f t="shared" si="4"/>
        <v>0</v>
      </c>
      <c r="X18" s="105"/>
      <c r="Y18" s="106"/>
      <c r="Z18" s="146">
        <f t="shared" si="5"/>
        <v>0</v>
      </c>
      <c r="AA18" s="105"/>
      <c r="AB18" s="106"/>
      <c r="AC18" s="151">
        <f t="shared" si="6"/>
        <v>0</v>
      </c>
      <c r="AD18" s="105"/>
      <c r="AE18" s="106"/>
      <c r="AF18" s="151">
        <f t="shared" si="7"/>
        <v>0</v>
      </c>
      <c r="AG18" s="105"/>
      <c r="AH18" s="106"/>
      <c r="AI18" s="151">
        <f t="shared" si="8"/>
        <v>0</v>
      </c>
      <c r="AJ18" s="105"/>
      <c r="AK18" s="106"/>
      <c r="AL18" s="151">
        <f t="shared" si="9"/>
        <v>0</v>
      </c>
      <c r="AM18" s="105">
        <v>139</v>
      </c>
      <c r="AN18" s="106">
        <v>0</v>
      </c>
      <c r="AO18" s="151">
        <f t="shared" si="10"/>
        <v>139</v>
      </c>
      <c r="AP18" s="105">
        <v>0</v>
      </c>
      <c r="AQ18" s="106">
        <v>0</v>
      </c>
      <c r="AR18" s="151">
        <f t="shared" si="11"/>
        <v>0</v>
      </c>
      <c r="AS18" s="105">
        <v>0</v>
      </c>
      <c r="AT18" s="106">
        <v>0</v>
      </c>
      <c r="AU18" s="151">
        <f t="shared" si="12"/>
        <v>0</v>
      </c>
      <c r="AV18" s="105">
        <v>0</v>
      </c>
      <c r="AW18" s="106">
        <v>0</v>
      </c>
      <c r="AX18" s="151">
        <f t="shared" si="13"/>
        <v>0</v>
      </c>
      <c r="AY18" s="105">
        <f t="shared" si="14"/>
        <v>139</v>
      </c>
      <c r="AZ18" s="106">
        <f t="shared" si="15"/>
        <v>0</v>
      </c>
      <c r="BA18" s="151">
        <f t="shared" si="16"/>
        <v>139</v>
      </c>
    </row>
    <row r="19" spans="1:53" s="107" customFormat="1" ht="30.2" customHeight="1" x14ac:dyDescent="0.25">
      <c r="A19" s="129" t="s">
        <v>11</v>
      </c>
      <c r="B19" s="130">
        <v>4145</v>
      </c>
      <c r="C19" s="130">
        <v>138</v>
      </c>
      <c r="D19" s="131">
        <f t="shared" si="25"/>
        <v>4283</v>
      </c>
      <c r="E19" s="132"/>
      <c r="F19" s="130" t="s">
        <v>65</v>
      </c>
      <c r="G19" s="130">
        <f t="shared" si="0"/>
        <v>3483</v>
      </c>
      <c r="H19" s="130">
        <v>3483</v>
      </c>
      <c r="I19" s="130" t="s">
        <v>66</v>
      </c>
      <c r="J19" s="133">
        <f t="shared" si="1"/>
        <v>800</v>
      </c>
      <c r="K19" s="101">
        <v>800</v>
      </c>
      <c r="L19" s="102">
        <f t="shared" si="26"/>
        <v>4283</v>
      </c>
      <c r="M19" s="103">
        <f t="shared" si="27"/>
        <v>4283</v>
      </c>
      <c r="N19" s="104">
        <f t="shared" si="28"/>
        <v>0</v>
      </c>
      <c r="O19" s="105"/>
      <c r="P19" s="106"/>
      <c r="Q19" s="146">
        <f t="shared" si="2"/>
        <v>0</v>
      </c>
      <c r="R19" s="105"/>
      <c r="S19" s="106"/>
      <c r="T19" s="146">
        <f t="shared" si="3"/>
        <v>0</v>
      </c>
      <c r="U19" s="105"/>
      <c r="V19" s="106"/>
      <c r="W19" s="146">
        <f t="shared" si="4"/>
        <v>0</v>
      </c>
      <c r="X19" s="105"/>
      <c r="Y19" s="106"/>
      <c r="Z19" s="146">
        <f t="shared" si="5"/>
        <v>0</v>
      </c>
      <c r="AA19" s="105"/>
      <c r="AB19" s="106"/>
      <c r="AC19" s="151">
        <f t="shared" si="6"/>
        <v>0</v>
      </c>
      <c r="AD19" s="105"/>
      <c r="AE19" s="106"/>
      <c r="AF19" s="151">
        <f t="shared" si="7"/>
        <v>0</v>
      </c>
      <c r="AG19" s="105"/>
      <c r="AH19" s="106"/>
      <c r="AI19" s="151">
        <f t="shared" si="8"/>
        <v>0</v>
      </c>
      <c r="AJ19" s="105"/>
      <c r="AK19" s="106"/>
      <c r="AL19" s="151">
        <f t="shared" si="9"/>
        <v>0</v>
      </c>
      <c r="AM19" s="105">
        <v>0</v>
      </c>
      <c r="AN19" s="106">
        <v>0</v>
      </c>
      <c r="AO19" s="151">
        <f t="shared" si="10"/>
        <v>0</v>
      </c>
      <c r="AP19" s="105">
        <v>0</v>
      </c>
      <c r="AQ19" s="106">
        <v>0</v>
      </c>
      <c r="AR19" s="151">
        <f t="shared" si="11"/>
        <v>0</v>
      </c>
      <c r="AS19" s="105">
        <v>0</v>
      </c>
      <c r="AT19" s="106">
        <v>0</v>
      </c>
      <c r="AU19" s="151">
        <f t="shared" si="12"/>
        <v>0</v>
      </c>
      <c r="AV19" s="105">
        <v>0</v>
      </c>
      <c r="AW19" s="106">
        <v>0</v>
      </c>
      <c r="AX19" s="151">
        <f t="shared" si="13"/>
        <v>0</v>
      </c>
      <c r="AY19" s="105">
        <f t="shared" si="14"/>
        <v>0</v>
      </c>
      <c r="AZ19" s="106">
        <f t="shared" si="15"/>
        <v>0</v>
      </c>
      <c r="BA19" s="151">
        <f t="shared" si="16"/>
        <v>0</v>
      </c>
    </row>
    <row r="20" spans="1:53" s="107" customFormat="1" ht="30.2" customHeight="1" x14ac:dyDescent="0.25">
      <c r="A20" s="129" t="s">
        <v>12</v>
      </c>
      <c r="B20" s="130">
        <v>4180</v>
      </c>
      <c r="C20" s="130">
        <v>400</v>
      </c>
      <c r="D20" s="131">
        <f t="shared" si="25"/>
        <v>4580</v>
      </c>
      <c r="E20" s="132"/>
      <c r="F20" s="130" t="s">
        <v>67</v>
      </c>
      <c r="G20" s="130">
        <f t="shared" si="0"/>
        <v>3386</v>
      </c>
      <c r="H20" s="130">
        <v>3386</v>
      </c>
      <c r="I20" s="130" t="s">
        <v>68</v>
      </c>
      <c r="J20" s="133">
        <f t="shared" si="1"/>
        <v>1256</v>
      </c>
      <c r="K20" s="101">
        <v>1194</v>
      </c>
      <c r="L20" s="102">
        <f t="shared" si="26"/>
        <v>4580</v>
      </c>
      <c r="M20" s="103">
        <f t="shared" si="27"/>
        <v>4642</v>
      </c>
      <c r="N20" s="104">
        <f t="shared" si="28"/>
        <v>62</v>
      </c>
      <c r="O20" s="105"/>
      <c r="P20" s="106"/>
      <c r="Q20" s="146">
        <f t="shared" si="2"/>
        <v>0</v>
      </c>
      <c r="R20" s="105"/>
      <c r="S20" s="106"/>
      <c r="T20" s="146">
        <f t="shared" si="3"/>
        <v>0</v>
      </c>
      <c r="U20" s="105"/>
      <c r="V20" s="106"/>
      <c r="W20" s="146">
        <f t="shared" si="4"/>
        <v>0</v>
      </c>
      <c r="X20" s="105"/>
      <c r="Y20" s="106"/>
      <c r="Z20" s="146">
        <f t="shared" si="5"/>
        <v>0</v>
      </c>
      <c r="AA20" s="105"/>
      <c r="AB20" s="106"/>
      <c r="AC20" s="151">
        <f t="shared" si="6"/>
        <v>0</v>
      </c>
      <c r="AD20" s="105"/>
      <c r="AE20" s="106"/>
      <c r="AF20" s="151">
        <f t="shared" si="7"/>
        <v>0</v>
      </c>
      <c r="AG20" s="105"/>
      <c r="AH20" s="106"/>
      <c r="AI20" s="151">
        <f t="shared" si="8"/>
        <v>0</v>
      </c>
      <c r="AJ20" s="105"/>
      <c r="AK20" s="106"/>
      <c r="AL20" s="151">
        <f t="shared" si="9"/>
        <v>0</v>
      </c>
      <c r="AM20" s="105">
        <v>0</v>
      </c>
      <c r="AN20" s="106">
        <v>0</v>
      </c>
      <c r="AO20" s="151">
        <f t="shared" si="10"/>
        <v>0</v>
      </c>
      <c r="AP20" s="105">
        <v>0</v>
      </c>
      <c r="AQ20" s="106">
        <v>0</v>
      </c>
      <c r="AR20" s="151">
        <f t="shared" si="11"/>
        <v>0</v>
      </c>
      <c r="AS20" s="105">
        <v>0</v>
      </c>
      <c r="AT20" s="106">
        <v>62</v>
      </c>
      <c r="AU20" s="151">
        <f t="shared" si="12"/>
        <v>62</v>
      </c>
      <c r="AV20" s="105">
        <v>0</v>
      </c>
      <c r="AW20" s="106">
        <v>0</v>
      </c>
      <c r="AX20" s="151">
        <f t="shared" si="13"/>
        <v>0</v>
      </c>
      <c r="AY20" s="105">
        <f t="shared" si="14"/>
        <v>0</v>
      </c>
      <c r="AZ20" s="106">
        <f t="shared" si="15"/>
        <v>62</v>
      </c>
      <c r="BA20" s="151">
        <f t="shared" si="16"/>
        <v>62</v>
      </c>
    </row>
    <row r="21" spans="1:53" s="107" customFormat="1" ht="30.2" customHeight="1" x14ac:dyDescent="0.25">
      <c r="A21" s="129" t="s">
        <v>13</v>
      </c>
      <c r="B21" s="130">
        <v>5787</v>
      </c>
      <c r="C21" s="130">
        <v>968</v>
      </c>
      <c r="D21" s="131">
        <f t="shared" si="25"/>
        <v>6755</v>
      </c>
      <c r="E21" s="132"/>
      <c r="F21" s="130" t="s">
        <v>69</v>
      </c>
      <c r="G21" s="130">
        <f t="shared" si="0"/>
        <v>4791</v>
      </c>
      <c r="H21" s="130">
        <v>4791</v>
      </c>
      <c r="I21" s="130" t="s">
        <v>70</v>
      </c>
      <c r="J21" s="133">
        <f t="shared" si="1"/>
        <v>2042</v>
      </c>
      <c r="K21" s="101">
        <v>1964</v>
      </c>
      <c r="L21" s="102">
        <f t="shared" si="26"/>
        <v>6755</v>
      </c>
      <c r="M21" s="103">
        <f t="shared" si="27"/>
        <v>6833</v>
      </c>
      <c r="N21" s="104">
        <f t="shared" si="28"/>
        <v>78</v>
      </c>
      <c r="O21" s="105"/>
      <c r="P21" s="106"/>
      <c r="Q21" s="146">
        <f t="shared" si="2"/>
        <v>0</v>
      </c>
      <c r="R21" s="105"/>
      <c r="S21" s="106"/>
      <c r="T21" s="146">
        <f t="shared" si="3"/>
        <v>0</v>
      </c>
      <c r="U21" s="105"/>
      <c r="V21" s="106"/>
      <c r="W21" s="146">
        <f t="shared" si="4"/>
        <v>0</v>
      </c>
      <c r="X21" s="105"/>
      <c r="Y21" s="106"/>
      <c r="Z21" s="146">
        <f t="shared" si="5"/>
        <v>0</v>
      </c>
      <c r="AA21" s="105"/>
      <c r="AB21" s="106"/>
      <c r="AC21" s="151">
        <f t="shared" si="6"/>
        <v>0</v>
      </c>
      <c r="AD21" s="105"/>
      <c r="AE21" s="106"/>
      <c r="AF21" s="151">
        <f t="shared" si="7"/>
        <v>0</v>
      </c>
      <c r="AG21" s="105"/>
      <c r="AH21" s="106"/>
      <c r="AI21" s="151">
        <f t="shared" si="8"/>
        <v>0</v>
      </c>
      <c r="AJ21" s="105"/>
      <c r="AK21" s="106"/>
      <c r="AL21" s="151">
        <f t="shared" si="9"/>
        <v>0</v>
      </c>
      <c r="AM21" s="105">
        <v>0</v>
      </c>
      <c r="AN21" s="106">
        <v>0</v>
      </c>
      <c r="AO21" s="151">
        <f t="shared" si="10"/>
        <v>0</v>
      </c>
      <c r="AP21" s="105">
        <v>0</v>
      </c>
      <c r="AQ21" s="106">
        <v>0</v>
      </c>
      <c r="AR21" s="151">
        <f t="shared" si="11"/>
        <v>0</v>
      </c>
      <c r="AS21" s="105">
        <v>0</v>
      </c>
      <c r="AT21" s="106">
        <v>78</v>
      </c>
      <c r="AU21" s="151">
        <f t="shared" si="12"/>
        <v>78</v>
      </c>
      <c r="AV21" s="105">
        <v>0</v>
      </c>
      <c r="AW21" s="106">
        <v>0</v>
      </c>
      <c r="AX21" s="151">
        <f t="shared" si="13"/>
        <v>0</v>
      </c>
      <c r="AY21" s="105">
        <f t="shared" si="14"/>
        <v>0</v>
      </c>
      <c r="AZ21" s="106">
        <f t="shared" si="15"/>
        <v>78</v>
      </c>
      <c r="BA21" s="151">
        <f t="shared" si="16"/>
        <v>78</v>
      </c>
    </row>
    <row r="22" spans="1:53" s="107" customFormat="1" ht="30.2" customHeight="1" x14ac:dyDescent="0.25">
      <c r="A22" s="129" t="s">
        <v>14</v>
      </c>
      <c r="B22" s="130">
        <v>17139</v>
      </c>
      <c r="C22" s="130">
        <v>4797</v>
      </c>
      <c r="D22" s="131">
        <f t="shared" si="25"/>
        <v>21936</v>
      </c>
      <c r="E22" s="132"/>
      <c r="F22" s="130" t="s">
        <v>71</v>
      </c>
      <c r="G22" s="130">
        <f t="shared" si="0"/>
        <v>14342</v>
      </c>
      <c r="H22" s="130">
        <v>14342</v>
      </c>
      <c r="I22" s="130" t="s">
        <v>72</v>
      </c>
      <c r="J22" s="133">
        <f t="shared" si="1"/>
        <v>8394</v>
      </c>
      <c r="K22" s="101">
        <v>7594</v>
      </c>
      <c r="L22" s="102">
        <f t="shared" si="26"/>
        <v>21936</v>
      </c>
      <c r="M22" s="103">
        <f t="shared" si="27"/>
        <v>22736</v>
      </c>
      <c r="N22" s="104">
        <f t="shared" si="28"/>
        <v>800</v>
      </c>
      <c r="O22" s="105"/>
      <c r="P22" s="106"/>
      <c r="Q22" s="146">
        <f t="shared" si="2"/>
        <v>0</v>
      </c>
      <c r="R22" s="105"/>
      <c r="S22" s="106"/>
      <c r="T22" s="146">
        <f t="shared" si="3"/>
        <v>0</v>
      </c>
      <c r="U22" s="105"/>
      <c r="V22" s="106"/>
      <c r="W22" s="146">
        <f t="shared" si="4"/>
        <v>0</v>
      </c>
      <c r="X22" s="105"/>
      <c r="Y22" s="106">
        <v>230</v>
      </c>
      <c r="Z22" s="146">
        <f t="shared" si="5"/>
        <v>230</v>
      </c>
      <c r="AA22" s="105"/>
      <c r="AB22" s="106"/>
      <c r="AC22" s="151">
        <f t="shared" si="6"/>
        <v>0</v>
      </c>
      <c r="AD22" s="105"/>
      <c r="AE22" s="106"/>
      <c r="AF22" s="151">
        <f t="shared" si="7"/>
        <v>0</v>
      </c>
      <c r="AG22" s="105"/>
      <c r="AH22" s="106">
        <v>170</v>
      </c>
      <c r="AI22" s="151">
        <f t="shared" si="8"/>
        <v>170</v>
      </c>
      <c r="AJ22" s="105"/>
      <c r="AK22" s="106">
        <v>311</v>
      </c>
      <c r="AL22" s="151">
        <f t="shared" si="9"/>
        <v>311</v>
      </c>
      <c r="AM22" s="105">
        <v>0</v>
      </c>
      <c r="AN22" s="106">
        <v>89</v>
      </c>
      <c r="AO22" s="151">
        <f t="shared" si="10"/>
        <v>89</v>
      </c>
      <c r="AP22" s="105">
        <v>0</v>
      </c>
      <c r="AQ22" s="106">
        <v>0</v>
      </c>
      <c r="AR22" s="151">
        <f t="shared" si="11"/>
        <v>0</v>
      </c>
      <c r="AS22" s="105">
        <v>0</v>
      </c>
      <c r="AT22" s="106">
        <v>0</v>
      </c>
      <c r="AU22" s="151">
        <f t="shared" si="12"/>
        <v>0</v>
      </c>
      <c r="AV22" s="105">
        <v>0</v>
      </c>
      <c r="AW22" s="106">
        <v>0</v>
      </c>
      <c r="AX22" s="151">
        <f t="shared" si="13"/>
        <v>0</v>
      </c>
      <c r="AY22" s="105">
        <f t="shared" si="14"/>
        <v>0</v>
      </c>
      <c r="AZ22" s="106">
        <f t="shared" si="15"/>
        <v>800</v>
      </c>
      <c r="BA22" s="151">
        <f t="shared" si="16"/>
        <v>800</v>
      </c>
    </row>
    <row r="23" spans="1:53" s="107" customFormat="1" ht="30.2" customHeight="1" x14ac:dyDescent="0.25">
      <c r="A23" s="129" t="s">
        <v>15</v>
      </c>
      <c r="B23" s="130">
        <v>22192</v>
      </c>
      <c r="C23" s="130">
        <v>4406</v>
      </c>
      <c r="D23" s="131">
        <f t="shared" si="25"/>
        <v>26598</v>
      </c>
      <c r="E23" s="132"/>
      <c r="F23" s="130" t="s">
        <v>73</v>
      </c>
      <c r="G23" s="130">
        <f t="shared" si="0"/>
        <v>18180</v>
      </c>
      <c r="H23" s="130">
        <v>18180</v>
      </c>
      <c r="I23" s="130" t="s">
        <v>74</v>
      </c>
      <c r="J23" s="133">
        <f t="shared" si="1"/>
        <v>8518</v>
      </c>
      <c r="K23" s="101">
        <v>8418</v>
      </c>
      <c r="L23" s="102">
        <f t="shared" si="26"/>
        <v>26598</v>
      </c>
      <c r="M23" s="103">
        <f t="shared" si="27"/>
        <v>26698</v>
      </c>
      <c r="N23" s="104">
        <f t="shared" si="28"/>
        <v>100</v>
      </c>
      <c r="O23" s="105"/>
      <c r="P23" s="106">
        <v>100</v>
      </c>
      <c r="Q23" s="146">
        <f t="shared" si="2"/>
        <v>100</v>
      </c>
      <c r="R23" s="105"/>
      <c r="S23" s="106"/>
      <c r="T23" s="146">
        <f t="shared" si="3"/>
        <v>0</v>
      </c>
      <c r="U23" s="105"/>
      <c r="V23" s="106"/>
      <c r="W23" s="146">
        <f t="shared" si="4"/>
        <v>0</v>
      </c>
      <c r="X23" s="105"/>
      <c r="Y23" s="106"/>
      <c r="Z23" s="146">
        <f t="shared" si="5"/>
        <v>0</v>
      </c>
      <c r="AA23" s="105"/>
      <c r="AB23" s="106"/>
      <c r="AC23" s="151">
        <f t="shared" si="6"/>
        <v>0</v>
      </c>
      <c r="AD23" s="105"/>
      <c r="AE23" s="106"/>
      <c r="AF23" s="151">
        <f t="shared" si="7"/>
        <v>0</v>
      </c>
      <c r="AG23" s="105"/>
      <c r="AH23" s="106"/>
      <c r="AI23" s="151">
        <f t="shared" si="8"/>
        <v>0</v>
      </c>
      <c r="AJ23" s="105"/>
      <c r="AK23" s="106"/>
      <c r="AL23" s="151">
        <f t="shared" si="9"/>
        <v>0</v>
      </c>
      <c r="AM23" s="105">
        <v>0</v>
      </c>
      <c r="AN23" s="106">
        <v>0</v>
      </c>
      <c r="AO23" s="151">
        <f t="shared" si="10"/>
        <v>0</v>
      </c>
      <c r="AP23" s="105">
        <v>0</v>
      </c>
      <c r="AQ23" s="106">
        <v>0</v>
      </c>
      <c r="AR23" s="151">
        <f t="shared" si="11"/>
        <v>0</v>
      </c>
      <c r="AS23" s="105">
        <v>0</v>
      </c>
      <c r="AT23" s="106">
        <v>0</v>
      </c>
      <c r="AU23" s="151">
        <f t="shared" si="12"/>
        <v>0</v>
      </c>
      <c r="AV23" s="105">
        <v>0</v>
      </c>
      <c r="AW23" s="106">
        <v>0</v>
      </c>
      <c r="AX23" s="151">
        <f t="shared" si="13"/>
        <v>0</v>
      </c>
      <c r="AY23" s="105">
        <f t="shared" si="14"/>
        <v>0</v>
      </c>
      <c r="AZ23" s="106">
        <f t="shared" si="15"/>
        <v>100</v>
      </c>
      <c r="BA23" s="151">
        <f t="shared" si="16"/>
        <v>100</v>
      </c>
    </row>
    <row r="24" spans="1:53" s="107" customFormat="1" ht="30.2" customHeight="1" x14ac:dyDescent="0.25">
      <c r="A24" s="129" t="s">
        <v>16</v>
      </c>
      <c r="B24" s="130">
        <v>15399</v>
      </c>
      <c r="C24" s="130">
        <v>3400</v>
      </c>
      <c r="D24" s="131">
        <f t="shared" si="25"/>
        <v>18799</v>
      </c>
      <c r="E24" s="132"/>
      <c r="F24" s="130" t="s">
        <v>77</v>
      </c>
      <c r="G24" s="130">
        <f t="shared" si="0"/>
        <v>13399</v>
      </c>
      <c r="H24" s="130">
        <v>12599</v>
      </c>
      <c r="I24" s="130" t="s">
        <v>78</v>
      </c>
      <c r="J24" s="133">
        <f t="shared" si="1"/>
        <v>6200</v>
      </c>
      <c r="K24" s="101">
        <v>6200</v>
      </c>
      <c r="L24" s="102">
        <f t="shared" si="26"/>
        <v>18799</v>
      </c>
      <c r="M24" s="103">
        <f t="shared" si="27"/>
        <v>19599</v>
      </c>
      <c r="N24" s="104">
        <f t="shared" si="28"/>
        <v>800</v>
      </c>
      <c r="O24" s="105"/>
      <c r="P24" s="106"/>
      <c r="Q24" s="146">
        <f t="shared" si="2"/>
        <v>0</v>
      </c>
      <c r="R24" s="105"/>
      <c r="S24" s="106"/>
      <c r="T24" s="146">
        <f t="shared" si="3"/>
        <v>0</v>
      </c>
      <c r="U24" s="105">
        <v>400</v>
      </c>
      <c r="V24" s="106"/>
      <c r="W24" s="146">
        <f t="shared" si="4"/>
        <v>400</v>
      </c>
      <c r="X24" s="105"/>
      <c r="Y24" s="106"/>
      <c r="Z24" s="146">
        <f t="shared" si="5"/>
        <v>0</v>
      </c>
      <c r="AA24" s="105"/>
      <c r="AB24" s="106"/>
      <c r="AC24" s="151">
        <f t="shared" si="6"/>
        <v>0</v>
      </c>
      <c r="AD24" s="105"/>
      <c r="AE24" s="106"/>
      <c r="AF24" s="151">
        <f t="shared" si="7"/>
        <v>0</v>
      </c>
      <c r="AG24" s="105">
        <v>330</v>
      </c>
      <c r="AH24" s="106"/>
      <c r="AI24" s="151">
        <f t="shared" si="8"/>
        <v>330</v>
      </c>
      <c r="AJ24" s="105">
        <v>70</v>
      </c>
      <c r="AK24" s="106"/>
      <c r="AL24" s="151">
        <f t="shared" si="9"/>
        <v>70</v>
      </c>
      <c r="AM24" s="105">
        <v>0</v>
      </c>
      <c r="AN24" s="106">
        <v>0</v>
      </c>
      <c r="AO24" s="151">
        <f t="shared" si="10"/>
        <v>0</v>
      </c>
      <c r="AP24" s="105">
        <v>0</v>
      </c>
      <c r="AQ24" s="106">
        <v>0</v>
      </c>
      <c r="AR24" s="151">
        <f t="shared" si="11"/>
        <v>0</v>
      </c>
      <c r="AS24" s="105">
        <v>0</v>
      </c>
      <c r="AT24" s="106">
        <v>0</v>
      </c>
      <c r="AU24" s="151">
        <f t="shared" si="12"/>
        <v>0</v>
      </c>
      <c r="AV24" s="105">
        <v>0</v>
      </c>
      <c r="AW24" s="106">
        <v>0</v>
      </c>
      <c r="AX24" s="151">
        <f t="shared" si="13"/>
        <v>0</v>
      </c>
      <c r="AY24" s="105">
        <f t="shared" si="14"/>
        <v>800</v>
      </c>
      <c r="AZ24" s="106">
        <f t="shared" si="15"/>
        <v>0</v>
      </c>
      <c r="BA24" s="151">
        <f t="shared" si="16"/>
        <v>800</v>
      </c>
    </row>
    <row r="25" spans="1:53" s="107" customFormat="1" ht="30.2" customHeight="1" x14ac:dyDescent="0.25">
      <c r="A25" s="129" t="s">
        <v>17</v>
      </c>
      <c r="B25" s="130">
        <v>32788</v>
      </c>
      <c r="C25" s="130">
        <v>0</v>
      </c>
      <c r="D25" s="131">
        <f t="shared" si="25"/>
        <v>32788</v>
      </c>
      <c r="E25" s="132"/>
      <c r="F25" s="130" t="s">
        <v>79</v>
      </c>
      <c r="G25" s="130">
        <f t="shared" si="0"/>
        <v>25585</v>
      </c>
      <c r="H25" s="130">
        <v>25585</v>
      </c>
      <c r="I25" s="130" t="s">
        <v>80</v>
      </c>
      <c r="J25" s="133">
        <f t="shared" si="1"/>
        <v>7203</v>
      </c>
      <c r="K25" s="101">
        <v>7203</v>
      </c>
      <c r="L25" s="102">
        <f t="shared" si="26"/>
        <v>32788</v>
      </c>
      <c r="M25" s="103">
        <f t="shared" si="27"/>
        <v>32788</v>
      </c>
      <c r="N25" s="104">
        <f t="shared" si="28"/>
        <v>0</v>
      </c>
      <c r="O25" s="105"/>
      <c r="P25" s="106"/>
      <c r="Q25" s="146">
        <f t="shared" si="2"/>
        <v>0</v>
      </c>
      <c r="R25" s="105"/>
      <c r="S25" s="106"/>
      <c r="T25" s="146">
        <f t="shared" si="3"/>
        <v>0</v>
      </c>
      <c r="U25" s="105"/>
      <c r="V25" s="106"/>
      <c r="W25" s="146">
        <f t="shared" si="4"/>
        <v>0</v>
      </c>
      <c r="X25" s="105"/>
      <c r="Y25" s="106"/>
      <c r="Z25" s="146">
        <f t="shared" si="5"/>
        <v>0</v>
      </c>
      <c r="AA25" s="105"/>
      <c r="AB25" s="106"/>
      <c r="AC25" s="151">
        <f t="shared" si="6"/>
        <v>0</v>
      </c>
      <c r="AD25" s="105"/>
      <c r="AE25" s="106"/>
      <c r="AF25" s="151">
        <f t="shared" si="7"/>
        <v>0</v>
      </c>
      <c r="AG25" s="105"/>
      <c r="AH25" s="106"/>
      <c r="AI25" s="151">
        <f t="shared" si="8"/>
        <v>0</v>
      </c>
      <c r="AJ25" s="105"/>
      <c r="AK25" s="106"/>
      <c r="AL25" s="151">
        <f t="shared" si="9"/>
        <v>0</v>
      </c>
      <c r="AM25" s="105">
        <v>0</v>
      </c>
      <c r="AN25" s="106">
        <v>0</v>
      </c>
      <c r="AO25" s="151">
        <f t="shared" si="10"/>
        <v>0</v>
      </c>
      <c r="AP25" s="105">
        <v>0</v>
      </c>
      <c r="AQ25" s="106">
        <v>0</v>
      </c>
      <c r="AR25" s="151">
        <f t="shared" si="11"/>
        <v>0</v>
      </c>
      <c r="AS25" s="105">
        <v>0</v>
      </c>
      <c r="AT25" s="106">
        <v>0</v>
      </c>
      <c r="AU25" s="151">
        <f t="shared" si="12"/>
        <v>0</v>
      </c>
      <c r="AV25" s="105">
        <v>0</v>
      </c>
      <c r="AW25" s="106">
        <v>0</v>
      </c>
      <c r="AX25" s="151">
        <f t="shared" si="13"/>
        <v>0</v>
      </c>
      <c r="AY25" s="105">
        <f t="shared" si="14"/>
        <v>0</v>
      </c>
      <c r="AZ25" s="106">
        <f t="shared" si="15"/>
        <v>0</v>
      </c>
      <c r="BA25" s="151">
        <f t="shared" si="16"/>
        <v>0</v>
      </c>
    </row>
    <row r="26" spans="1:53" s="107" customFormat="1" ht="30.2" customHeight="1" x14ac:dyDescent="0.25">
      <c r="A26" s="129" t="s">
        <v>18</v>
      </c>
      <c r="B26" s="130">
        <v>200</v>
      </c>
      <c r="C26" s="130">
        <v>0</v>
      </c>
      <c r="D26" s="131">
        <f t="shared" si="25"/>
        <v>200</v>
      </c>
      <c r="E26" s="132"/>
      <c r="F26" s="130" t="s">
        <v>81</v>
      </c>
      <c r="G26" s="130">
        <f t="shared" si="0"/>
        <v>0</v>
      </c>
      <c r="H26" s="130"/>
      <c r="I26" s="130" t="s">
        <v>82</v>
      </c>
      <c r="J26" s="133">
        <f t="shared" si="1"/>
        <v>200</v>
      </c>
      <c r="K26" s="101">
        <v>200</v>
      </c>
      <c r="L26" s="102">
        <f t="shared" si="26"/>
        <v>200</v>
      </c>
      <c r="M26" s="103">
        <f t="shared" si="27"/>
        <v>200</v>
      </c>
      <c r="N26" s="104">
        <f t="shared" si="28"/>
        <v>0</v>
      </c>
      <c r="O26" s="105"/>
      <c r="P26" s="106"/>
      <c r="Q26" s="146">
        <f t="shared" si="2"/>
        <v>0</v>
      </c>
      <c r="R26" s="105"/>
      <c r="S26" s="106"/>
      <c r="T26" s="146">
        <f t="shared" si="3"/>
        <v>0</v>
      </c>
      <c r="U26" s="105"/>
      <c r="V26" s="106"/>
      <c r="W26" s="146">
        <f t="shared" si="4"/>
        <v>0</v>
      </c>
      <c r="X26" s="105"/>
      <c r="Y26" s="106"/>
      <c r="Z26" s="146">
        <f t="shared" si="5"/>
        <v>0</v>
      </c>
      <c r="AA26" s="105"/>
      <c r="AB26" s="106"/>
      <c r="AC26" s="151">
        <f t="shared" si="6"/>
        <v>0</v>
      </c>
      <c r="AD26" s="105"/>
      <c r="AE26" s="106"/>
      <c r="AF26" s="151">
        <f t="shared" si="7"/>
        <v>0</v>
      </c>
      <c r="AG26" s="105"/>
      <c r="AH26" s="106"/>
      <c r="AI26" s="151">
        <f t="shared" si="8"/>
        <v>0</v>
      </c>
      <c r="AJ26" s="105"/>
      <c r="AK26" s="106"/>
      <c r="AL26" s="151">
        <f t="shared" si="9"/>
        <v>0</v>
      </c>
      <c r="AM26" s="105">
        <v>0</v>
      </c>
      <c r="AN26" s="106">
        <v>0</v>
      </c>
      <c r="AO26" s="151">
        <f t="shared" si="10"/>
        <v>0</v>
      </c>
      <c r="AP26" s="105">
        <v>0</v>
      </c>
      <c r="AQ26" s="106">
        <v>0</v>
      </c>
      <c r="AR26" s="151">
        <f t="shared" si="11"/>
        <v>0</v>
      </c>
      <c r="AS26" s="105">
        <v>0</v>
      </c>
      <c r="AT26" s="106">
        <v>0</v>
      </c>
      <c r="AU26" s="151">
        <f t="shared" si="12"/>
        <v>0</v>
      </c>
      <c r="AV26" s="105">
        <v>0</v>
      </c>
      <c r="AW26" s="106">
        <v>0</v>
      </c>
      <c r="AX26" s="151">
        <f t="shared" si="13"/>
        <v>0</v>
      </c>
      <c r="AY26" s="105">
        <f t="shared" si="14"/>
        <v>0</v>
      </c>
      <c r="AZ26" s="106">
        <f t="shared" si="15"/>
        <v>0</v>
      </c>
      <c r="BA26" s="151">
        <f t="shared" si="16"/>
        <v>0</v>
      </c>
    </row>
    <row r="27" spans="1:53" s="107" customFormat="1" ht="30.2" customHeight="1" x14ac:dyDescent="0.25">
      <c r="A27" s="129" t="s">
        <v>19</v>
      </c>
      <c r="B27" s="130">
        <v>3121</v>
      </c>
      <c r="C27" s="130">
        <v>2199</v>
      </c>
      <c r="D27" s="131">
        <f t="shared" si="25"/>
        <v>5320</v>
      </c>
      <c r="E27" s="132"/>
      <c r="F27" s="130" t="s">
        <v>83</v>
      </c>
      <c r="G27" s="130">
        <f t="shared" si="0"/>
        <v>5120</v>
      </c>
      <c r="H27" s="130">
        <v>5120</v>
      </c>
      <c r="I27" s="130" t="s">
        <v>84</v>
      </c>
      <c r="J27" s="133">
        <f t="shared" si="1"/>
        <v>200</v>
      </c>
      <c r="K27" s="101">
        <v>200</v>
      </c>
      <c r="L27" s="102">
        <f t="shared" si="26"/>
        <v>5320</v>
      </c>
      <c r="M27" s="103">
        <f t="shared" si="27"/>
        <v>5320</v>
      </c>
      <c r="N27" s="104">
        <f t="shared" si="28"/>
        <v>0</v>
      </c>
      <c r="O27" s="105"/>
      <c r="P27" s="106"/>
      <c r="Q27" s="146">
        <f t="shared" si="2"/>
        <v>0</v>
      </c>
      <c r="R27" s="105"/>
      <c r="S27" s="106"/>
      <c r="T27" s="146">
        <f t="shared" si="3"/>
        <v>0</v>
      </c>
      <c r="U27" s="105"/>
      <c r="V27" s="106"/>
      <c r="W27" s="146">
        <f t="shared" si="4"/>
        <v>0</v>
      </c>
      <c r="X27" s="105"/>
      <c r="Y27" s="106"/>
      <c r="Z27" s="146">
        <f t="shared" si="5"/>
        <v>0</v>
      </c>
      <c r="AA27" s="105"/>
      <c r="AB27" s="106"/>
      <c r="AC27" s="151">
        <f t="shared" si="6"/>
        <v>0</v>
      </c>
      <c r="AD27" s="105"/>
      <c r="AE27" s="106"/>
      <c r="AF27" s="151">
        <f t="shared" si="7"/>
        <v>0</v>
      </c>
      <c r="AG27" s="105"/>
      <c r="AH27" s="106"/>
      <c r="AI27" s="151">
        <f t="shared" si="8"/>
        <v>0</v>
      </c>
      <c r="AJ27" s="105"/>
      <c r="AK27" s="106"/>
      <c r="AL27" s="151">
        <f t="shared" si="9"/>
        <v>0</v>
      </c>
      <c r="AM27" s="105">
        <v>0</v>
      </c>
      <c r="AN27" s="106">
        <v>0</v>
      </c>
      <c r="AO27" s="151">
        <f t="shared" si="10"/>
        <v>0</v>
      </c>
      <c r="AP27" s="105">
        <v>0</v>
      </c>
      <c r="AQ27" s="106">
        <v>0</v>
      </c>
      <c r="AR27" s="151">
        <f t="shared" si="11"/>
        <v>0</v>
      </c>
      <c r="AS27" s="105">
        <v>0</v>
      </c>
      <c r="AT27" s="106">
        <v>0</v>
      </c>
      <c r="AU27" s="151">
        <f t="shared" si="12"/>
        <v>0</v>
      </c>
      <c r="AV27" s="105">
        <v>0</v>
      </c>
      <c r="AW27" s="106">
        <v>0</v>
      </c>
      <c r="AX27" s="151">
        <f t="shared" si="13"/>
        <v>0</v>
      </c>
      <c r="AY27" s="105">
        <f t="shared" si="14"/>
        <v>0</v>
      </c>
      <c r="AZ27" s="106">
        <f t="shared" si="15"/>
        <v>0</v>
      </c>
      <c r="BA27" s="151">
        <f t="shared" si="16"/>
        <v>0</v>
      </c>
    </row>
    <row r="28" spans="1:53" s="107" customFormat="1" ht="30.2" customHeight="1" x14ac:dyDescent="0.25">
      <c r="A28" s="129" t="s">
        <v>20</v>
      </c>
      <c r="B28" s="130">
        <v>2600</v>
      </c>
      <c r="C28" s="130">
        <v>600</v>
      </c>
      <c r="D28" s="131">
        <f t="shared" si="25"/>
        <v>3200</v>
      </c>
      <c r="E28" s="132"/>
      <c r="F28" s="130" t="s">
        <v>85</v>
      </c>
      <c r="G28" s="130">
        <f t="shared" si="0"/>
        <v>2200</v>
      </c>
      <c r="H28" s="130">
        <v>2200</v>
      </c>
      <c r="I28" s="130" t="s">
        <v>86</v>
      </c>
      <c r="J28" s="133">
        <f t="shared" si="1"/>
        <v>1000</v>
      </c>
      <c r="K28" s="101">
        <v>1000</v>
      </c>
      <c r="L28" s="102">
        <f t="shared" si="26"/>
        <v>3200</v>
      </c>
      <c r="M28" s="103">
        <f t="shared" si="27"/>
        <v>3200</v>
      </c>
      <c r="N28" s="104">
        <f t="shared" si="28"/>
        <v>0</v>
      </c>
      <c r="O28" s="105"/>
      <c r="P28" s="106"/>
      <c r="Q28" s="146">
        <f t="shared" si="2"/>
        <v>0</v>
      </c>
      <c r="R28" s="105"/>
      <c r="S28" s="106"/>
      <c r="T28" s="146">
        <f t="shared" si="3"/>
        <v>0</v>
      </c>
      <c r="U28" s="105"/>
      <c r="V28" s="106"/>
      <c r="W28" s="146">
        <f t="shared" si="4"/>
        <v>0</v>
      </c>
      <c r="X28" s="105"/>
      <c r="Y28" s="106"/>
      <c r="Z28" s="146">
        <f t="shared" si="5"/>
        <v>0</v>
      </c>
      <c r="AA28" s="105"/>
      <c r="AB28" s="106"/>
      <c r="AC28" s="151">
        <f t="shared" si="6"/>
        <v>0</v>
      </c>
      <c r="AD28" s="105"/>
      <c r="AE28" s="106"/>
      <c r="AF28" s="151">
        <f t="shared" si="7"/>
        <v>0</v>
      </c>
      <c r="AG28" s="105"/>
      <c r="AH28" s="106"/>
      <c r="AI28" s="151">
        <f t="shared" si="8"/>
        <v>0</v>
      </c>
      <c r="AJ28" s="105"/>
      <c r="AK28" s="106"/>
      <c r="AL28" s="151">
        <f t="shared" si="9"/>
        <v>0</v>
      </c>
      <c r="AM28" s="105">
        <v>0</v>
      </c>
      <c r="AN28" s="106">
        <v>0</v>
      </c>
      <c r="AO28" s="151">
        <f t="shared" si="10"/>
        <v>0</v>
      </c>
      <c r="AP28" s="105">
        <v>0</v>
      </c>
      <c r="AQ28" s="106">
        <v>0</v>
      </c>
      <c r="AR28" s="151">
        <f t="shared" si="11"/>
        <v>0</v>
      </c>
      <c r="AS28" s="105">
        <v>0</v>
      </c>
      <c r="AT28" s="106">
        <v>0</v>
      </c>
      <c r="AU28" s="151">
        <f t="shared" si="12"/>
        <v>0</v>
      </c>
      <c r="AV28" s="105">
        <v>0</v>
      </c>
      <c r="AW28" s="106">
        <v>0</v>
      </c>
      <c r="AX28" s="151">
        <f t="shared" si="13"/>
        <v>0</v>
      </c>
      <c r="AY28" s="105">
        <f t="shared" si="14"/>
        <v>0</v>
      </c>
      <c r="AZ28" s="106">
        <f t="shared" si="15"/>
        <v>0</v>
      </c>
      <c r="BA28" s="151">
        <f t="shared" si="16"/>
        <v>0</v>
      </c>
    </row>
    <row r="29" spans="1:53" s="107" customFormat="1" ht="30.2" customHeight="1" x14ac:dyDescent="0.25">
      <c r="A29" s="179" t="s">
        <v>21</v>
      </c>
      <c r="B29" s="176">
        <f>44507+800+7399</f>
        <v>52706</v>
      </c>
      <c r="C29" s="176">
        <f>10399+800</f>
        <v>11199</v>
      </c>
      <c r="D29" s="177">
        <f t="shared" si="25"/>
        <v>63905</v>
      </c>
      <c r="E29" s="132"/>
      <c r="F29" s="130" t="s">
        <v>87</v>
      </c>
      <c r="G29" s="130">
        <f t="shared" si="0"/>
        <v>36535</v>
      </c>
      <c r="H29" s="130">
        <v>36535</v>
      </c>
      <c r="I29" s="130" t="s">
        <v>88</v>
      </c>
      <c r="J29" s="133">
        <f t="shared" si="1"/>
        <v>18379</v>
      </c>
      <c r="K29" s="101">
        <v>17979</v>
      </c>
      <c r="L29" s="184">
        <f>+K29+K30+K31+K32+H29+H30+H31+H32</f>
        <v>63905</v>
      </c>
      <c r="M29" s="178">
        <f>+G29+G30+G32+G31+J29+J30+J31+J32</f>
        <v>64305</v>
      </c>
      <c r="N29" s="185">
        <f t="shared" si="28"/>
        <v>400</v>
      </c>
      <c r="O29" s="105"/>
      <c r="P29" s="106"/>
      <c r="Q29" s="146">
        <f t="shared" si="2"/>
        <v>0</v>
      </c>
      <c r="R29" s="105"/>
      <c r="S29" s="106"/>
      <c r="T29" s="146">
        <f t="shared" si="3"/>
        <v>0</v>
      </c>
      <c r="U29" s="105"/>
      <c r="V29" s="106"/>
      <c r="W29" s="146">
        <f t="shared" si="4"/>
        <v>0</v>
      </c>
      <c r="X29" s="105"/>
      <c r="Y29" s="106">
        <v>200</v>
      </c>
      <c r="Z29" s="146">
        <f t="shared" si="5"/>
        <v>200</v>
      </c>
      <c r="AA29" s="105"/>
      <c r="AB29" s="106">
        <v>200</v>
      </c>
      <c r="AC29" s="151">
        <f t="shared" si="6"/>
        <v>200</v>
      </c>
      <c r="AD29" s="105"/>
      <c r="AE29" s="106"/>
      <c r="AF29" s="151">
        <f t="shared" si="7"/>
        <v>0</v>
      </c>
      <c r="AG29" s="105"/>
      <c r="AH29" s="106"/>
      <c r="AI29" s="151">
        <f t="shared" si="8"/>
        <v>0</v>
      </c>
      <c r="AJ29" s="105"/>
      <c r="AK29" s="106"/>
      <c r="AL29" s="151">
        <f t="shared" si="9"/>
        <v>0</v>
      </c>
      <c r="AM29" s="105">
        <v>0</v>
      </c>
      <c r="AN29" s="106">
        <v>0</v>
      </c>
      <c r="AO29" s="151">
        <f t="shared" si="10"/>
        <v>0</v>
      </c>
      <c r="AP29" s="105">
        <v>0</v>
      </c>
      <c r="AQ29" s="106">
        <v>0</v>
      </c>
      <c r="AR29" s="151">
        <f t="shared" si="11"/>
        <v>0</v>
      </c>
      <c r="AS29" s="105">
        <v>0</v>
      </c>
      <c r="AT29" s="106">
        <v>0</v>
      </c>
      <c r="AU29" s="151">
        <f t="shared" si="12"/>
        <v>0</v>
      </c>
      <c r="AV29" s="105">
        <v>0</v>
      </c>
      <c r="AW29" s="106">
        <v>0</v>
      </c>
      <c r="AX29" s="151">
        <f t="shared" si="13"/>
        <v>0</v>
      </c>
      <c r="AY29" s="105">
        <f t="shared" si="14"/>
        <v>0</v>
      </c>
      <c r="AZ29" s="106">
        <f t="shared" si="15"/>
        <v>400</v>
      </c>
      <c r="BA29" s="151">
        <f t="shared" si="16"/>
        <v>400</v>
      </c>
    </row>
    <row r="30" spans="1:53" s="107" customFormat="1" ht="30.2" customHeight="1" x14ac:dyDescent="0.25">
      <c r="A30" s="179"/>
      <c r="B30" s="176"/>
      <c r="C30" s="176"/>
      <c r="D30" s="177"/>
      <c r="E30" s="132"/>
      <c r="F30" s="130" t="s">
        <v>53</v>
      </c>
      <c r="G30" s="130">
        <f t="shared" si="0"/>
        <v>800</v>
      </c>
      <c r="H30" s="130">
        <v>800</v>
      </c>
      <c r="I30" s="130" t="s">
        <v>54</v>
      </c>
      <c r="J30" s="133">
        <f t="shared" si="1"/>
        <v>0</v>
      </c>
      <c r="K30" s="101">
        <v>0</v>
      </c>
      <c r="L30" s="184"/>
      <c r="M30" s="178"/>
      <c r="N30" s="185"/>
      <c r="O30" s="105"/>
      <c r="P30" s="106"/>
      <c r="Q30" s="146">
        <f t="shared" si="2"/>
        <v>0</v>
      </c>
      <c r="R30" s="105"/>
      <c r="S30" s="106"/>
      <c r="T30" s="146">
        <f t="shared" si="3"/>
        <v>0</v>
      </c>
      <c r="U30" s="105"/>
      <c r="V30" s="106"/>
      <c r="W30" s="146">
        <f t="shared" si="4"/>
        <v>0</v>
      </c>
      <c r="X30" s="105"/>
      <c r="Y30" s="106"/>
      <c r="Z30" s="146">
        <f t="shared" si="5"/>
        <v>0</v>
      </c>
      <c r="AA30" s="105"/>
      <c r="AB30" s="106"/>
      <c r="AC30" s="151">
        <f t="shared" si="6"/>
        <v>0</v>
      </c>
      <c r="AD30" s="105"/>
      <c r="AE30" s="106"/>
      <c r="AF30" s="151">
        <f t="shared" si="7"/>
        <v>0</v>
      </c>
      <c r="AG30" s="105"/>
      <c r="AH30" s="106"/>
      <c r="AI30" s="151">
        <f t="shared" si="8"/>
        <v>0</v>
      </c>
      <c r="AJ30" s="105"/>
      <c r="AK30" s="106"/>
      <c r="AL30" s="151">
        <f t="shared" si="9"/>
        <v>0</v>
      </c>
      <c r="AM30" s="105">
        <v>0</v>
      </c>
      <c r="AN30" s="106">
        <v>0</v>
      </c>
      <c r="AO30" s="151">
        <f t="shared" si="10"/>
        <v>0</v>
      </c>
      <c r="AP30" s="105">
        <v>0</v>
      </c>
      <c r="AQ30" s="106">
        <v>0</v>
      </c>
      <c r="AR30" s="151">
        <f t="shared" si="11"/>
        <v>0</v>
      </c>
      <c r="AS30" s="105">
        <v>0</v>
      </c>
      <c r="AT30" s="106">
        <v>0</v>
      </c>
      <c r="AU30" s="151">
        <f t="shared" si="12"/>
        <v>0</v>
      </c>
      <c r="AV30" s="105">
        <v>0</v>
      </c>
      <c r="AW30" s="106">
        <v>0</v>
      </c>
      <c r="AX30" s="151">
        <f t="shared" si="13"/>
        <v>0</v>
      </c>
      <c r="AY30" s="105">
        <f t="shared" si="14"/>
        <v>0</v>
      </c>
      <c r="AZ30" s="106">
        <f t="shared" si="15"/>
        <v>0</v>
      </c>
      <c r="BA30" s="151">
        <f t="shared" si="16"/>
        <v>0</v>
      </c>
    </row>
    <row r="31" spans="1:53" s="107" customFormat="1" ht="30.2" customHeight="1" x14ac:dyDescent="0.25">
      <c r="A31" s="179"/>
      <c r="B31" s="176"/>
      <c r="C31" s="176"/>
      <c r="D31" s="177"/>
      <c r="E31" s="132"/>
      <c r="F31" s="130" t="s">
        <v>99</v>
      </c>
      <c r="G31" s="130">
        <f t="shared" si="0"/>
        <v>6200</v>
      </c>
      <c r="H31" s="130">
        <v>6200</v>
      </c>
      <c r="I31" s="130" t="s">
        <v>100</v>
      </c>
      <c r="J31" s="133">
        <f t="shared" si="1"/>
        <v>1999</v>
      </c>
      <c r="K31" s="101">
        <v>1999</v>
      </c>
      <c r="L31" s="184"/>
      <c r="M31" s="178"/>
      <c r="N31" s="185"/>
      <c r="O31" s="105"/>
      <c r="P31" s="106"/>
      <c r="Q31" s="146">
        <f t="shared" si="2"/>
        <v>0</v>
      </c>
      <c r="R31" s="105"/>
      <c r="S31" s="106"/>
      <c r="T31" s="146">
        <f t="shared" si="3"/>
        <v>0</v>
      </c>
      <c r="U31" s="105"/>
      <c r="V31" s="106"/>
      <c r="W31" s="146">
        <f t="shared" si="4"/>
        <v>0</v>
      </c>
      <c r="X31" s="105"/>
      <c r="Y31" s="106"/>
      <c r="Z31" s="146">
        <f t="shared" si="5"/>
        <v>0</v>
      </c>
      <c r="AA31" s="105"/>
      <c r="AB31" s="106"/>
      <c r="AC31" s="151">
        <f t="shared" si="6"/>
        <v>0</v>
      </c>
      <c r="AD31" s="105"/>
      <c r="AE31" s="106"/>
      <c r="AF31" s="151">
        <f t="shared" si="7"/>
        <v>0</v>
      </c>
      <c r="AG31" s="105"/>
      <c r="AH31" s="106"/>
      <c r="AI31" s="151">
        <f t="shared" si="8"/>
        <v>0</v>
      </c>
      <c r="AJ31" s="105"/>
      <c r="AK31" s="106"/>
      <c r="AL31" s="151">
        <f t="shared" si="9"/>
        <v>0</v>
      </c>
      <c r="AM31" s="105">
        <v>0</v>
      </c>
      <c r="AN31" s="106">
        <v>0</v>
      </c>
      <c r="AO31" s="151">
        <f t="shared" si="10"/>
        <v>0</v>
      </c>
      <c r="AP31" s="105">
        <v>0</v>
      </c>
      <c r="AQ31" s="106">
        <v>0</v>
      </c>
      <c r="AR31" s="151">
        <f t="shared" si="11"/>
        <v>0</v>
      </c>
      <c r="AS31" s="105">
        <v>0</v>
      </c>
      <c r="AT31" s="106">
        <v>0</v>
      </c>
      <c r="AU31" s="151">
        <f t="shared" si="12"/>
        <v>0</v>
      </c>
      <c r="AV31" s="105">
        <v>0</v>
      </c>
      <c r="AW31" s="106">
        <v>0</v>
      </c>
      <c r="AX31" s="151">
        <f t="shared" si="13"/>
        <v>0</v>
      </c>
      <c r="AY31" s="105">
        <f t="shared" si="14"/>
        <v>0</v>
      </c>
      <c r="AZ31" s="106">
        <f t="shared" si="15"/>
        <v>0</v>
      </c>
      <c r="BA31" s="151">
        <f t="shared" si="16"/>
        <v>0</v>
      </c>
    </row>
    <row r="32" spans="1:53" s="107" customFormat="1" ht="30.2" customHeight="1" x14ac:dyDescent="0.25">
      <c r="A32" s="179"/>
      <c r="B32" s="176"/>
      <c r="C32" s="176"/>
      <c r="D32" s="177"/>
      <c r="E32" s="132"/>
      <c r="F32" s="130" t="s">
        <v>89</v>
      </c>
      <c r="G32" s="130">
        <f t="shared" si="0"/>
        <v>200</v>
      </c>
      <c r="H32" s="130">
        <v>200</v>
      </c>
      <c r="I32" s="130" t="s">
        <v>90</v>
      </c>
      <c r="J32" s="133">
        <f t="shared" si="1"/>
        <v>192</v>
      </c>
      <c r="K32" s="101">
        <v>192</v>
      </c>
      <c r="L32" s="184"/>
      <c r="M32" s="178"/>
      <c r="N32" s="185"/>
      <c r="O32" s="105"/>
      <c r="P32" s="106"/>
      <c r="Q32" s="146">
        <f t="shared" si="2"/>
        <v>0</v>
      </c>
      <c r="R32" s="105"/>
      <c r="S32" s="106"/>
      <c r="T32" s="146">
        <f t="shared" si="3"/>
        <v>0</v>
      </c>
      <c r="U32" s="105"/>
      <c r="V32" s="106"/>
      <c r="W32" s="146">
        <f t="shared" si="4"/>
        <v>0</v>
      </c>
      <c r="X32" s="105"/>
      <c r="Y32" s="106"/>
      <c r="Z32" s="146">
        <f t="shared" si="5"/>
        <v>0</v>
      </c>
      <c r="AA32" s="105"/>
      <c r="AB32" s="106"/>
      <c r="AC32" s="151">
        <f t="shared" si="6"/>
        <v>0</v>
      </c>
      <c r="AD32" s="105"/>
      <c r="AE32" s="106"/>
      <c r="AF32" s="151">
        <f t="shared" si="7"/>
        <v>0</v>
      </c>
      <c r="AG32" s="105"/>
      <c r="AH32" s="106"/>
      <c r="AI32" s="151">
        <f t="shared" si="8"/>
        <v>0</v>
      </c>
      <c r="AJ32" s="105"/>
      <c r="AK32" s="106"/>
      <c r="AL32" s="151">
        <f t="shared" si="9"/>
        <v>0</v>
      </c>
      <c r="AM32" s="105">
        <v>0</v>
      </c>
      <c r="AN32" s="106">
        <v>0</v>
      </c>
      <c r="AO32" s="151">
        <f t="shared" si="10"/>
        <v>0</v>
      </c>
      <c r="AP32" s="105">
        <v>0</v>
      </c>
      <c r="AQ32" s="106">
        <v>0</v>
      </c>
      <c r="AR32" s="151">
        <f t="shared" si="11"/>
        <v>0</v>
      </c>
      <c r="AS32" s="105">
        <v>0</v>
      </c>
      <c r="AT32" s="106">
        <v>0</v>
      </c>
      <c r="AU32" s="151">
        <f t="shared" si="12"/>
        <v>0</v>
      </c>
      <c r="AV32" s="105">
        <v>0</v>
      </c>
      <c r="AW32" s="106">
        <v>0</v>
      </c>
      <c r="AX32" s="151">
        <f t="shared" si="13"/>
        <v>0</v>
      </c>
      <c r="AY32" s="105">
        <f t="shared" si="14"/>
        <v>0</v>
      </c>
      <c r="AZ32" s="106">
        <f t="shared" si="15"/>
        <v>0</v>
      </c>
      <c r="BA32" s="151">
        <f t="shared" si="16"/>
        <v>0</v>
      </c>
    </row>
    <row r="33" spans="1:53" s="107" customFormat="1" ht="30.2" customHeight="1" x14ac:dyDescent="0.25">
      <c r="A33" s="129" t="s">
        <v>22</v>
      </c>
      <c r="B33" s="130">
        <v>0</v>
      </c>
      <c r="C33" s="130">
        <v>2392</v>
      </c>
      <c r="D33" s="131">
        <f t="shared" si="25"/>
        <v>2392</v>
      </c>
      <c r="E33" s="132"/>
      <c r="F33" s="130"/>
      <c r="G33" s="130">
        <f t="shared" si="0"/>
        <v>144</v>
      </c>
      <c r="H33" s="130"/>
      <c r="I33" s="130" t="s">
        <v>96</v>
      </c>
      <c r="J33" s="133">
        <f t="shared" si="1"/>
        <v>2791</v>
      </c>
      <c r="K33" s="101">
        <v>2392</v>
      </c>
      <c r="L33" s="102">
        <f t="shared" si="26"/>
        <v>2392</v>
      </c>
      <c r="M33" s="103">
        <f t="shared" ref="M33" si="29">+G33+J33</f>
        <v>2935</v>
      </c>
      <c r="N33" s="104">
        <f t="shared" si="28"/>
        <v>543</v>
      </c>
      <c r="O33" s="105"/>
      <c r="P33" s="106"/>
      <c r="Q33" s="146">
        <f t="shared" si="2"/>
        <v>0</v>
      </c>
      <c r="R33" s="105"/>
      <c r="S33" s="106">
        <v>182</v>
      </c>
      <c r="T33" s="146">
        <f t="shared" si="3"/>
        <v>182</v>
      </c>
      <c r="U33" s="105"/>
      <c r="V33" s="106"/>
      <c r="W33" s="146">
        <f t="shared" si="4"/>
        <v>0</v>
      </c>
      <c r="X33" s="105"/>
      <c r="Y33" s="106"/>
      <c r="Z33" s="146">
        <f t="shared" si="5"/>
        <v>0</v>
      </c>
      <c r="AA33" s="105"/>
      <c r="AB33" s="106"/>
      <c r="AC33" s="151">
        <f t="shared" si="6"/>
        <v>0</v>
      </c>
      <c r="AD33" s="105"/>
      <c r="AE33" s="106"/>
      <c r="AF33" s="151">
        <f t="shared" si="7"/>
        <v>0</v>
      </c>
      <c r="AG33" s="105"/>
      <c r="AH33" s="106"/>
      <c r="AI33" s="151">
        <f t="shared" si="8"/>
        <v>0</v>
      </c>
      <c r="AJ33" s="105"/>
      <c r="AK33" s="106"/>
      <c r="AL33" s="151">
        <f t="shared" si="9"/>
        <v>0</v>
      </c>
      <c r="AM33" s="105">
        <v>0</v>
      </c>
      <c r="AN33" s="106">
        <v>0</v>
      </c>
      <c r="AO33" s="151">
        <f t="shared" si="10"/>
        <v>0</v>
      </c>
      <c r="AP33" s="105">
        <v>144</v>
      </c>
      <c r="AQ33" s="106">
        <v>217</v>
      </c>
      <c r="AR33" s="151">
        <f t="shared" si="11"/>
        <v>361</v>
      </c>
      <c r="AS33" s="105">
        <v>0</v>
      </c>
      <c r="AT33" s="106">
        <v>0</v>
      </c>
      <c r="AU33" s="151">
        <f t="shared" si="12"/>
        <v>0</v>
      </c>
      <c r="AV33" s="105">
        <v>0</v>
      </c>
      <c r="AW33" s="106">
        <v>0</v>
      </c>
      <c r="AX33" s="151">
        <f t="shared" si="13"/>
        <v>0</v>
      </c>
      <c r="AY33" s="105">
        <f t="shared" si="14"/>
        <v>144</v>
      </c>
      <c r="AZ33" s="106">
        <f t="shared" si="15"/>
        <v>399</v>
      </c>
      <c r="BA33" s="151">
        <f t="shared" si="16"/>
        <v>543</v>
      </c>
    </row>
    <row r="34" spans="1:53" s="107" customFormat="1" ht="30.2" customHeight="1" x14ac:dyDescent="0.25">
      <c r="A34" s="179" t="s">
        <v>23</v>
      </c>
      <c r="B34" s="176">
        <v>6137</v>
      </c>
      <c r="C34" s="176">
        <v>2838</v>
      </c>
      <c r="D34" s="177">
        <f t="shared" si="25"/>
        <v>8975</v>
      </c>
      <c r="E34" s="132"/>
      <c r="F34" s="130" t="s">
        <v>92</v>
      </c>
      <c r="G34" s="130">
        <f t="shared" si="0"/>
        <v>4555</v>
      </c>
      <c r="H34" s="130">
        <v>4155</v>
      </c>
      <c r="I34" s="130" t="s">
        <v>93</v>
      </c>
      <c r="J34" s="133">
        <f t="shared" si="1"/>
        <v>3982</v>
      </c>
      <c r="K34" s="101">
        <v>3420</v>
      </c>
      <c r="L34" s="184">
        <f>+K34+K35+H34+H35</f>
        <v>8975</v>
      </c>
      <c r="M34" s="178">
        <f>+G34+G35+J34+J35</f>
        <v>9937</v>
      </c>
      <c r="N34" s="185">
        <f>M34-L34</f>
        <v>962</v>
      </c>
      <c r="O34" s="105"/>
      <c r="P34" s="106"/>
      <c r="Q34" s="146">
        <f t="shared" si="2"/>
        <v>0</v>
      </c>
      <c r="R34" s="105"/>
      <c r="S34" s="106">
        <v>100</v>
      </c>
      <c r="T34" s="146">
        <f t="shared" si="3"/>
        <v>100</v>
      </c>
      <c r="U34" s="105"/>
      <c r="V34" s="106"/>
      <c r="W34" s="146">
        <f t="shared" si="4"/>
        <v>0</v>
      </c>
      <c r="X34" s="105"/>
      <c r="Y34" s="106"/>
      <c r="Z34" s="146">
        <f t="shared" si="5"/>
        <v>0</v>
      </c>
      <c r="AA34" s="105"/>
      <c r="AB34" s="106">
        <v>200</v>
      </c>
      <c r="AC34" s="151">
        <f t="shared" si="6"/>
        <v>200</v>
      </c>
      <c r="AD34" s="105"/>
      <c r="AE34" s="106">
        <v>100</v>
      </c>
      <c r="AF34" s="151">
        <f t="shared" si="7"/>
        <v>100</v>
      </c>
      <c r="AG34" s="105"/>
      <c r="AH34" s="106">
        <v>149</v>
      </c>
      <c r="AI34" s="151">
        <f t="shared" si="8"/>
        <v>149</v>
      </c>
      <c r="AJ34" s="105">
        <v>100</v>
      </c>
      <c r="AK34" s="106">
        <v>13</v>
      </c>
      <c r="AL34" s="151">
        <f t="shared" si="9"/>
        <v>113</v>
      </c>
      <c r="AM34" s="105">
        <v>100</v>
      </c>
      <c r="AN34" s="106">
        <v>0</v>
      </c>
      <c r="AO34" s="151">
        <f t="shared" si="10"/>
        <v>100</v>
      </c>
      <c r="AP34" s="105">
        <v>0</v>
      </c>
      <c r="AQ34" s="106">
        <v>0</v>
      </c>
      <c r="AR34" s="151">
        <f t="shared" si="11"/>
        <v>0</v>
      </c>
      <c r="AS34" s="105">
        <v>100</v>
      </c>
      <c r="AT34" s="106">
        <v>0</v>
      </c>
      <c r="AU34" s="151">
        <f t="shared" si="12"/>
        <v>100</v>
      </c>
      <c r="AV34" s="105">
        <v>100</v>
      </c>
      <c r="AW34" s="106">
        <v>0</v>
      </c>
      <c r="AX34" s="151">
        <f t="shared" si="13"/>
        <v>100</v>
      </c>
      <c r="AY34" s="105">
        <f t="shared" si="14"/>
        <v>400</v>
      </c>
      <c r="AZ34" s="106">
        <f t="shared" si="15"/>
        <v>562</v>
      </c>
      <c r="BA34" s="151">
        <f t="shared" si="16"/>
        <v>962</v>
      </c>
    </row>
    <row r="35" spans="1:53" s="107" customFormat="1" ht="30.2" customHeight="1" x14ac:dyDescent="0.25">
      <c r="A35" s="179"/>
      <c r="B35" s="176"/>
      <c r="C35" s="176"/>
      <c r="D35" s="177"/>
      <c r="E35" s="132"/>
      <c r="F35" s="130" t="s">
        <v>94</v>
      </c>
      <c r="G35" s="130">
        <f t="shared" si="0"/>
        <v>1200</v>
      </c>
      <c r="H35" s="130">
        <v>1200</v>
      </c>
      <c r="I35" s="130" t="s">
        <v>95</v>
      </c>
      <c r="J35" s="133">
        <f t="shared" si="1"/>
        <v>200</v>
      </c>
      <c r="K35" s="101">
        <v>200</v>
      </c>
      <c r="L35" s="184"/>
      <c r="M35" s="178"/>
      <c r="N35" s="185"/>
      <c r="O35" s="105"/>
      <c r="P35" s="106"/>
      <c r="Q35" s="146">
        <f t="shared" si="2"/>
        <v>0</v>
      </c>
      <c r="R35" s="105"/>
      <c r="S35" s="106"/>
      <c r="T35" s="146">
        <f t="shared" si="3"/>
        <v>0</v>
      </c>
      <c r="U35" s="105"/>
      <c r="V35" s="106"/>
      <c r="W35" s="146">
        <f t="shared" si="4"/>
        <v>0</v>
      </c>
      <c r="X35" s="105"/>
      <c r="Y35" s="106"/>
      <c r="Z35" s="146">
        <f t="shared" si="5"/>
        <v>0</v>
      </c>
      <c r="AA35" s="105"/>
      <c r="AB35" s="106"/>
      <c r="AC35" s="151">
        <f t="shared" si="6"/>
        <v>0</v>
      </c>
      <c r="AD35" s="105"/>
      <c r="AE35" s="106"/>
      <c r="AF35" s="151">
        <f t="shared" si="7"/>
        <v>0</v>
      </c>
      <c r="AG35" s="105"/>
      <c r="AH35" s="106"/>
      <c r="AI35" s="151">
        <f t="shared" si="8"/>
        <v>0</v>
      </c>
      <c r="AJ35" s="105"/>
      <c r="AK35" s="106"/>
      <c r="AL35" s="151">
        <f t="shared" si="9"/>
        <v>0</v>
      </c>
      <c r="AM35" s="105">
        <v>0</v>
      </c>
      <c r="AN35" s="106">
        <v>0</v>
      </c>
      <c r="AO35" s="151">
        <f t="shared" si="10"/>
        <v>0</v>
      </c>
      <c r="AP35" s="105">
        <v>0</v>
      </c>
      <c r="AQ35" s="106">
        <v>0</v>
      </c>
      <c r="AR35" s="151">
        <f t="shared" si="11"/>
        <v>0</v>
      </c>
      <c r="AS35" s="105">
        <v>0</v>
      </c>
      <c r="AT35" s="106">
        <v>0</v>
      </c>
      <c r="AU35" s="151">
        <f t="shared" si="12"/>
        <v>0</v>
      </c>
      <c r="AV35" s="105">
        <v>0</v>
      </c>
      <c r="AW35" s="106">
        <v>0</v>
      </c>
      <c r="AX35" s="151">
        <f t="shared" si="13"/>
        <v>0</v>
      </c>
      <c r="AY35" s="105">
        <f t="shared" si="14"/>
        <v>0</v>
      </c>
      <c r="AZ35" s="106">
        <f t="shared" si="15"/>
        <v>0</v>
      </c>
      <c r="BA35" s="151">
        <f t="shared" si="16"/>
        <v>0</v>
      </c>
    </row>
    <row r="36" spans="1:53" s="107" customFormat="1" ht="30.2" customHeight="1" x14ac:dyDescent="0.25">
      <c r="A36" s="129" t="s">
        <v>32</v>
      </c>
      <c r="B36" s="130">
        <v>4400</v>
      </c>
      <c r="C36" s="130">
        <v>2067</v>
      </c>
      <c r="D36" s="131">
        <f t="shared" si="25"/>
        <v>6467</v>
      </c>
      <c r="E36" s="132"/>
      <c r="F36" s="130" t="s">
        <v>32</v>
      </c>
      <c r="G36" s="130">
        <f t="shared" si="0"/>
        <v>5526</v>
      </c>
      <c r="H36" s="130">
        <v>4400</v>
      </c>
      <c r="I36" s="130" t="s">
        <v>91</v>
      </c>
      <c r="J36" s="133">
        <f t="shared" si="1"/>
        <v>2391</v>
      </c>
      <c r="K36" s="101">
        <v>2067</v>
      </c>
      <c r="L36" s="102">
        <f t="shared" si="26"/>
        <v>6467</v>
      </c>
      <c r="M36" s="103">
        <f t="shared" ref="M36:M45" si="30">+G36+J36</f>
        <v>7917</v>
      </c>
      <c r="N36" s="104">
        <f t="shared" si="28"/>
        <v>1450</v>
      </c>
      <c r="O36" s="105"/>
      <c r="P36" s="106">
        <v>164</v>
      </c>
      <c r="Q36" s="146">
        <f t="shared" si="2"/>
        <v>164</v>
      </c>
      <c r="R36" s="105"/>
      <c r="S36" s="106"/>
      <c r="T36" s="146">
        <f t="shared" si="3"/>
        <v>0</v>
      </c>
      <c r="U36" s="105"/>
      <c r="V36" s="106">
        <v>160</v>
      </c>
      <c r="W36" s="146">
        <f t="shared" si="4"/>
        <v>160</v>
      </c>
      <c r="X36" s="105"/>
      <c r="Y36" s="106"/>
      <c r="Z36" s="146">
        <f t="shared" si="5"/>
        <v>0</v>
      </c>
      <c r="AA36" s="105"/>
      <c r="AB36" s="106"/>
      <c r="AC36" s="151">
        <f t="shared" si="6"/>
        <v>0</v>
      </c>
      <c r="AD36" s="105">
        <v>305</v>
      </c>
      <c r="AE36" s="106"/>
      <c r="AF36" s="151">
        <f t="shared" si="7"/>
        <v>305</v>
      </c>
      <c r="AG36" s="105"/>
      <c r="AH36" s="106"/>
      <c r="AI36" s="151">
        <f t="shared" si="8"/>
        <v>0</v>
      </c>
      <c r="AJ36" s="105">
        <v>459</v>
      </c>
      <c r="AK36" s="106"/>
      <c r="AL36" s="151">
        <f t="shared" si="9"/>
        <v>459</v>
      </c>
      <c r="AM36" s="105">
        <v>0</v>
      </c>
      <c r="AN36" s="106">
        <v>0</v>
      </c>
      <c r="AO36" s="151">
        <f t="shared" si="10"/>
        <v>0</v>
      </c>
      <c r="AP36" s="105">
        <v>207</v>
      </c>
      <c r="AQ36" s="106">
        <v>0</v>
      </c>
      <c r="AR36" s="151">
        <f t="shared" si="11"/>
        <v>207</v>
      </c>
      <c r="AS36" s="105">
        <v>155</v>
      </c>
      <c r="AT36" s="106">
        <v>0</v>
      </c>
      <c r="AU36" s="151">
        <f t="shared" si="12"/>
        <v>155</v>
      </c>
      <c r="AV36" s="105">
        <v>0</v>
      </c>
      <c r="AW36" s="106">
        <v>0</v>
      </c>
      <c r="AX36" s="151">
        <f t="shared" si="13"/>
        <v>0</v>
      </c>
      <c r="AY36" s="105">
        <f t="shared" si="14"/>
        <v>1126</v>
      </c>
      <c r="AZ36" s="106">
        <f t="shared" si="15"/>
        <v>324</v>
      </c>
      <c r="BA36" s="151">
        <f t="shared" si="16"/>
        <v>1450</v>
      </c>
    </row>
    <row r="37" spans="1:53" s="107" customFormat="1" ht="30.2" customHeight="1" x14ac:dyDescent="0.25">
      <c r="A37" s="129" t="s">
        <v>24</v>
      </c>
      <c r="B37" s="130">
        <v>5359</v>
      </c>
      <c r="C37" s="130">
        <v>1394</v>
      </c>
      <c r="D37" s="131">
        <f t="shared" si="25"/>
        <v>6753</v>
      </c>
      <c r="E37" s="132"/>
      <c r="F37" s="130" t="s">
        <v>97</v>
      </c>
      <c r="G37" s="130">
        <f t="shared" si="0"/>
        <v>5359</v>
      </c>
      <c r="H37" s="130">
        <v>5359</v>
      </c>
      <c r="I37" s="130" t="s">
        <v>98</v>
      </c>
      <c r="J37" s="133">
        <f t="shared" si="1"/>
        <v>1597</v>
      </c>
      <c r="K37" s="101">
        <v>1394</v>
      </c>
      <c r="L37" s="102">
        <f t="shared" si="26"/>
        <v>6753</v>
      </c>
      <c r="M37" s="103">
        <f t="shared" si="30"/>
        <v>6956</v>
      </c>
      <c r="N37" s="104">
        <f t="shared" si="28"/>
        <v>203</v>
      </c>
      <c r="O37" s="105"/>
      <c r="P37" s="106"/>
      <c r="Q37" s="146">
        <f t="shared" si="2"/>
        <v>0</v>
      </c>
      <c r="R37" s="105"/>
      <c r="S37" s="106"/>
      <c r="T37" s="146">
        <f t="shared" si="3"/>
        <v>0</v>
      </c>
      <c r="U37" s="105"/>
      <c r="V37" s="106"/>
      <c r="W37" s="146">
        <f t="shared" si="4"/>
        <v>0</v>
      </c>
      <c r="X37" s="105"/>
      <c r="Y37" s="106"/>
      <c r="Z37" s="146">
        <f t="shared" si="5"/>
        <v>0</v>
      </c>
      <c r="AA37" s="105"/>
      <c r="AB37" s="106"/>
      <c r="AC37" s="151">
        <f t="shared" si="6"/>
        <v>0</v>
      </c>
      <c r="AD37" s="105"/>
      <c r="AE37" s="106"/>
      <c r="AF37" s="151">
        <f t="shared" si="7"/>
        <v>0</v>
      </c>
      <c r="AG37" s="105"/>
      <c r="AH37" s="106">
        <v>203</v>
      </c>
      <c r="AI37" s="151">
        <f t="shared" si="8"/>
        <v>203</v>
      </c>
      <c r="AJ37" s="105"/>
      <c r="AK37" s="106"/>
      <c r="AL37" s="151">
        <f t="shared" si="9"/>
        <v>0</v>
      </c>
      <c r="AM37" s="105">
        <v>0</v>
      </c>
      <c r="AN37" s="106">
        <v>0</v>
      </c>
      <c r="AO37" s="151">
        <f t="shared" si="10"/>
        <v>0</v>
      </c>
      <c r="AP37" s="105">
        <v>0</v>
      </c>
      <c r="AQ37" s="106">
        <v>0</v>
      </c>
      <c r="AR37" s="151">
        <f t="shared" si="11"/>
        <v>0</v>
      </c>
      <c r="AS37" s="105">
        <v>0</v>
      </c>
      <c r="AT37" s="106">
        <v>0</v>
      </c>
      <c r="AU37" s="151">
        <f t="shared" si="12"/>
        <v>0</v>
      </c>
      <c r="AV37" s="105">
        <v>0</v>
      </c>
      <c r="AW37" s="106">
        <v>0</v>
      </c>
      <c r="AX37" s="151">
        <f t="shared" si="13"/>
        <v>0</v>
      </c>
      <c r="AY37" s="105">
        <f t="shared" si="14"/>
        <v>0</v>
      </c>
      <c r="AZ37" s="106">
        <f t="shared" si="15"/>
        <v>203</v>
      </c>
      <c r="BA37" s="151">
        <f t="shared" si="16"/>
        <v>203</v>
      </c>
    </row>
    <row r="38" spans="1:53" s="107" customFormat="1" ht="30.2" customHeight="1" x14ac:dyDescent="0.25">
      <c r="A38" s="129" t="s">
        <v>38</v>
      </c>
      <c r="B38" s="130">
        <v>79323</v>
      </c>
      <c r="C38" s="130">
        <v>600</v>
      </c>
      <c r="D38" s="131">
        <f t="shared" si="25"/>
        <v>79923</v>
      </c>
      <c r="E38" s="132"/>
      <c r="F38" s="130" t="s">
        <v>107</v>
      </c>
      <c r="G38" s="130">
        <f t="shared" si="0"/>
        <v>64522</v>
      </c>
      <c r="H38" s="130">
        <v>64522</v>
      </c>
      <c r="I38" s="130" t="s">
        <v>108</v>
      </c>
      <c r="J38" s="133">
        <f t="shared" si="1"/>
        <v>15401</v>
      </c>
      <c r="K38" s="101">
        <v>15401</v>
      </c>
      <c r="L38" s="102">
        <f t="shared" si="26"/>
        <v>79923</v>
      </c>
      <c r="M38" s="103">
        <f t="shared" si="30"/>
        <v>79923</v>
      </c>
      <c r="N38" s="104">
        <f t="shared" si="28"/>
        <v>0</v>
      </c>
      <c r="O38" s="105"/>
      <c r="P38" s="106"/>
      <c r="Q38" s="146">
        <f t="shared" si="2"/>
        <v>0</v>
      </c>
      <c r="R38" s="105"/>
      <c r="S38" s="106"/>
      <c r="T38" s="146">
        <f t="shared" si="3"/>
        <v>0</v>
      </c>
      <c r="U38" s="105"/>
      <c r="V38" s="106"/>
      <c r="W38" s="146">
        <f t="shared" si="4"/>
        <v>0</v>
      </c>
      <c r="X38" s="105"/>
      <c r="Y38" s="106"/>
      <c r="Z38" s="146">
        <f t="shared" si="5"/>
        <v>0</v>
      </c>
      <c r="AA38" s="105"/>
      <c r="AB38" s="106"/>
      <c r="AC38" s="151">
        <f t="shared" si="6"/>
        <v>0</v>
      </c>
      <c r="AD38" s="105"/>
      <c r="AE38" s="106"/>
      <c r="AF38" s="151">
        <f t="shared" si="7"/>
        <v>0</v>
      </c>
      <c r="AG38" s="105"/>
      <c r="AH38" s="106"/>
      <c r="AI38" s="151">
        <f t="shared" si="8"/>
        <v>0</v>
      </c>
      <c r="AJ38" s="105"/>
      <c r="AK38" s="106"/>
      <c r="AL38" s="151">
        <f t="shared" si="9"/>
        <v>0</v>
      </c>
      <c r="AM38" s="105">
        <v>0</v>
      </c>
      <c r="AN38" s="106">
        <v>0</v>
      </c>
      <c r="AO38" s="151">
        <f t="shared" si="10"/>
        <v>0</v>
      </c>
      <c r="AP38" s="105">
        <v>0</v>
      </c>
      <c r="AQ38" s="106">
        <v>0</v>
      </c>
      <c r="AR38" s="151">
        <f t="shared" si="11"/>
        <v>0</v>
      </c>
      <c r="AS38" s="105">
        <v>0</v>
      </c>
      <c r="AT38" s="106">
        <v>0</v>
      </c>
      <c r="AU38" s="151">
        <f t="shared" si="12"/>
        <v>0</v>
      </c>
      <c r="AV38" s="105">
        <v>0</v>
      </c>
      <c r="AW38" s="106">
        <v>0</v>
      </c>
      <c r="AX38" s="151">
        <f t="shared" si="13"/>
        <v>0</v>
      </c>
      <c r="AY38" s="105">
        <f t="shared" si="14"/>
        <v>0</v>
      </c>
      <c r="AZ38" s="106">
        <f t="shared" si="15"/>
        <v>0</v>
      </c>
      <c r="BA38" s="151">
        <f t="shared" si="16"/>
        <v>0</v>
      </c>
    </row>
    <row r="39" spans="1:53" s="107" customFormat="1" ht="30.2" customHeight="1" x14ac:dyDescent="0.25">
      <c r="A39" s="129" t="s">
        <v>25</v>
      </c>
      <c r="B39" s="130">
        <v>2571</v>
      </c>
      <c r="C39" s="130">
        <v>0</v>
      </c>
      <c r="D39" s="131">
        <f t="shared" si="25"/>
        <v>2571</v>
      </c>
      <c r="E39" s="132"/>
      <c r="F39" s="130" t="s">
        <v>101</v>
      </c>
      <c r="G39" s="130">
        <f t="shared" si="0"/>
        <v>2191</v>
      </c>
      <c r="H39" s="130">
        <v>2191</v>
      </c>
      <c r="I39" s="130" t="s">
        <v>102</v>
      </c>
      <c r="J39" s="133">
        <f t="shared" si="1"/>
        <v>380</v>
      </c>
      <c r="K39" s="101">
        <v>380</v>
      </c>
      <c r="L39" s="102">
        <f t="shared" si="26"/>
        <v>2571</v>
      </c>
      <c r="M39" s="103">
        <f t="shared" si="30"/>
        <v>2571</v>
      </c>
      <c r="N39" s="104">
        <f t="shared" si="28"/>
        <v>0</v>
      </c>
      <c r="O39" s="105"/>
      <c r="P39" s="106"/>
      <c r="Q39" s="146">
        <f t="shared" si="2"/>
        <v>0</v>
      </c>
      <c r="R39" s="105"/>
      <c r="S39" s="106"/>
      <c r="T39" s="146">
        <f t="shared" si="3"/>
        <v>0</v>
      </c>
      <c r="U39" s="105"/>
      <c r="V39" s="106"/>
      <c r="W39" s="146">
        <f t="shared" si="4"/>
        <v>0</v>
      </c>
      <c r="X39" s="105"/>
      <c r="Y39" s="106"/>
      <c r="Z39" s="146">
        <f t="shared" si="5"/>
        <v>0</v>
      </c>
      <c r="AA39" s="105"/>
      <c r="AB39" s="106"/>
      <c r="AC39" s="151">
        <f t="shared" si="6"/>
        <v>0</v>
      </c>
      <c r="AD39" s="105"/>
      <c r="AE39" s="106"/>
      <c r="AF39" s="151">
        <f t="shared" si="7"/>
        <v>0</v>
      </c>
      <c r="AG39" s="105"/>
      <c r="AH39" s="106"/>
      <c r="AI39" s="151">
        <f t="shared" si="8"/>
        <v>0</v>
      </c>
      <c r="AJ39" s="105"/>
      <c r="AK39" s="106"/>
      <c r="AL39" s="151">
        <f t="shared" si="9"/>
        <v>0</v>
      </c>
      <c r="AM39" s="105">
        <v>0</v>
      </c>
      <c r="AN39" s="106">
        <v>0</v>
      </c>
      <c r="AO39" s="151">
        <f t="shared" si="10"/>
        <v>0</v>
      </c>
      <c r="AP39" s="105">
        <v>0</v>
      </c>
      <c r="AQ39" s="106">
        <v>0</v>
      </c>
      <c r="AR39" s="151">
        <f t="shared" si="11"/>
        <v>0</v>
      </c>
      <c r="AS39" s="105">
        <v>0</v>
      </c>
      <c r="AT39" s="106">
        <v>0</v>
      </c>
      <c r="AU39" s="151">
        <f t="shared" si="12"/>
        <v>0</v>
      </c>
      <c r="AV39" s="105">
        <v>0</v>
      </c>
      <c r="AW39" s="106">
        <v>0</v>
      </c>
      <c r="AX39" s="151">
        <f t="shared" si="13"/>
        <v>0</v>
      </c>
      <c r="AY39" s="105">
        <f t="shared" si="14"/>
        <v>0</v>
      </c>
      <c r="AZ39" s="106">
        <f t="shared" si="15"/>
        <v>0</v>
      </c>
      <c r="BA39" s="151">
        <f t="shared" si="16"/>
        <v>0</v>
      </c>
    </row>
    <row r="40" spans="1:53" s="107" customFormat="1" ht="30.2" customHeight="1" x14ac:dyDescent="0.25">
      <c r="A40" s="129" t="s">
        <v>26</v>
      </c>
      <c r="B40" s="130">
        <v>16515</v>
      </c>
      <c r="C40" s="130">
        <v>0</v>
      </c>
      <c r="D40" s="131">
        <f t="shared" si="25"/>
        <v>16515</v>
      </c>
      <c r="E40" s="132"/>
      <c r="F40" s="130" t="s">
        <v>103</v>
      </c>
      <c r="G40" s="130">
        <f t="shared" si="0"/>
        <v>13796</v>
      </c>
      <c r="H40" s="130">
        <v>13796</v>
      </c>
      <c r="I40" s="130" t="s">
        <v>104</v>
      </c>
      <c r="J40" s="133">
        <f t="shared" si="1"/>
        <v>3319</v>
      </c>
      <c r="K40" s="101">
        <v>2719</v>
      </c>
      <c r="L40" s="102">
        <f t="shared" si="26"/>
        <v>16515</v>
      </c>
      <c r="M40" s="103">
        <f t="shared" si="30"/>
        <v>17115</v>
      </c>
      <c r="N40" s="104">
        <f t="shared" si="28"/>
        <v>600</v>
      </c>
      <c r="O40" s="105"/>
      <c r="P40" s="106"/>
      <c r="Q40" s="146">
        <f t="shared" si="2"/>
        <v>0</v>
      </c>
      <c r="R40" s="105"/>
      <c r="S40" s="106"/>
      <c r="T40" s="146">
        <f t="shared" si="3"/>
        <v>0</v>
      </c>
      <c r="U40" s="105"/>
      <c r="V40" s="106"/>
      <c r="W40" s="146">
        <f t="shared" si="4"/>
        <v>0</v>
      </c>
      <c r="X40" s="105"/>
      <c r="Y40" s="106"/>
      <c r="Z40" s="146">
        <f t="shared" si="5"/>
        <v>0</v>
      </c>
      <c r="AA40" s="105"/>
      <c r="AB40" s="106"/>
      <c r="AC40" s="151">
        <f t="shared" si="6"/>
        <v>0</v>
      </c>
      <c r="AD40" s="105"/>
      <c r="AE40" s="106"/>
      <c r="AF40" s="151">
        <f t="shared" si="7"/>
        <v>0</v>
      </c>
      <c r="AG40" s="105"/>
      <c r="AH40" s="106">
        <v>400</v>
      </c>
      <c r="AI40" s="151">
        <f t="shared" si="8"/>
        <v>400</v>
      </c>
      <c r="AJ40" s="105"/>
      <c r="AK40" s="106"/>
      <c r="AL40" s="151">
        <f t="shared" si="9"/>
        <v>0</v>
      </c>
      <c r="AM40" s="105">
        <v>0</v>
      </c>
      <c r="AN40" s="106">
        <v>0</v>
      </c>
      <c r="AO40" s="151">
        <f t="shared" si="10"/>
        <v>0</v>
      </c>
      <c r="AP40" s="105">
        <v>0</v>
      </c>
      <c r="AQ40" s="106">
        <v>0</v>
      </c>
      <c r="AR40" s="151">
        <f t="shared" si="11"/>
        <v>0</v>
      </c>
      <c r="AS40" s="105">
        <v>0</v>
      </c>
      <c r="AT40" s="106">
        <v>0</v>
      </c>
      <c r="AU40" s="151">
        <f t="shared" si="12"/>
        <v>0</v>
      </c>
      <c r="AV40" s="105">
        <v>0</v>
      </c>
      <c r="AW40" s="106">
        <v>200</v>
      </c>
      <c r="AX40" s="151">
        <f t="shared" si="13"/>
        <v>200</v>
      </c>
      <c r="AY40" s="105">
        <f t="shared" si="14"/>
        <v>0</v>
      </c>
      <c r="AZ40" s="106">
        <f t="shared" si="15"/>
        <v>600</v>
      </c>
      <c r="BA40" s="151">
        <f t="shared" si="16"/>
        <v>600</v>
      </c>
    </row>
    <row r="41" spans="1:53" s="107" customFormat="1" ht="30.2" customHeight="1" x14ac:dyDescent="0.25">
      <c r="A41" s="129" t="s">
        <v>27</v>
      </c>
      <c r="B41" s="130">
        <v>1592</v>
      </c>
      <c r="C41" s="130">
        <v>0</v>
      </c>
      <c r="D41" s="131">
        <f t="shared" si="25"/>
        <v>1592</v>
      </c>
      <c r="E41" s="132"/>
      <c r="F41" s="130" t="s">
        <v>105</v>
      </c>
      <c r="G41" s="130">
        <f t="shared" si="0"/>
        <v>1592</v>
      </c>
      <c r="H41" s="130">
        <v>1592</v>
      </c>
      <c r="I41" s="130" t="s">
        <v>106</v>
      </c>
      <c r="J41" s="133">
        <f t="shared" si="1"/>
        <v>0</v>
      </c>
      <c r="K41" s="101"/>
      <c r="L41" s="102">
        <f t="shared" si="26"/>
        <v>1592</v>
      </c>
      <c r="M41" s="103">
        <f t="shared" si="30"/>
        <v>1592</v>
      </c>
      <c r="N41" s="104">
        <f t="shared" si="28"/>
        <v>0</v>
      </c>
      <c r="O41" s="105"/>
      <c r="P41" s="106"/>
      <c r="Q41" s="146">
        <f t="shared" si="2"/>
        <v>0</v>
      </c>
      <c r="R41" s="105"/>
      <c r="S41" s="106"/>
      <c r="T41" s="146">
        <f t="shared" si="3"/>
        <v>0</v>
      </c>
      <c r="U41" s="105"/>
      <c r="V41" s="106"/>
      <c r="W41" s="146">
        <f t="shared" si="4"/>
        <v>0</v>
      </c>
      <c r="X41" s="105"/>
      <c r="Y41" s="106"/>
      <c r="Z41" s="146">
        <f t="shared" si="5"/>
        <v>0</v>
      </c>
      <c r="AA41" s="105"/>
      <c r="AB41" s="106"/>
      <c r="AC41" s="151">
        <f t="shared" si="6"/>
        <v>0</v>
      </c>
      <c r="AD41" s="105"/>
      <c r="AE41" s="106"/>
      <c r="AF41" s="151">
        <f t="shared" si="7"/>
        <v>0</v>
      </c>
      <c r="AG41" s="105"/>
      <c r="AH41" s="106"/>
      <c r="AI41" s="151">
        <f t="shared" si="8"/>
        <v>0</v>
      </c>
      <c r="AJ41" s="105"/>
      <c r="AK41" s="106"/>
      <c r="AL41" s="151">
        <f t="shared" si="9"/>
        <v>0</v>
      </c>
      <c r="AM41" s="105">
        <v>0</v>
      </c>
      <c r="AN41" s="106">
        <v>0</v>
      </c>
      <c r="AO41" s="151">
        <f t="shared" si="10"/>
        <v>0</v>
      </c>
      <c r="AP41" s="105">
        <v>0</v>
      </c>
      <c r="AQ41" s="106">
        <v>0</v>
      </c>
      <c r="AR41" s="151">
        <f t="shared" si="11"/>
        <v>0</v>
      </c>
      <c r="AS41" s="105">
        <v>0</v>
      </c>
      <c r="AT41" s="106">
        <v>0</v>
      </c>
      <c r="AU41" s="151">
        <f t="shared" si="12"/>
        <v>0</v>
      </c>
      <c r="AV41" s="105">
        <v>0</v>
      </c>
      <c r="AW41" s="106">
        <v>0</v>
      </c>
      <c r="AX41" s="151">
        <f t="shared" si="13"/>
        <v>0</v>
      </c>
      <c r="AY41" s="105">
        <f t="shared" si="14"/>
        <v>0</v>
      </c>
      <c r="AZ41" s="106">
        <f t="shared" si="15"/>
        <v>0</v>
      </c>
      <c r="BA41" s="151">
        <f t="shared" si="16"/>
        <v>0</v>
      </c>
    </row>
    <row r="42" spans="1:53" s="107" customFormat="1" ht="30.2" customHeight="1" x14ac:dyDescent="0.25">
      <c r="A42" s="129" t="s">
        <v>28</v>
      </c>
      <c r="B42" s="130">
        <v>18645</v>
      </c>
      <c r="C42" s="130">
        <v>0</v>
      </c>
      <c r="D42" s="131">
        <f t="shared" si="25"/>
        <v>18645</v>
      </c>
      <c r="E42" s="132"/>
      <c r="F42" s="130" t="s">
        <v>109</v>
      </c>
      <c r="G42" s="130">
        <f t="shared" si="0"/>
        <v>15848</v>
      </c>
      <c r="H42" s="130">
        <v>15848</v>
      </c>
      <c r="I42" s="130" t="s">
        <v>110</v>
      </c>
      <c r="J42" s="133">
        <f t="shared" si="1"/>
        <v>2797</v>
      </c>
      <c r="K42" s="101">
        <v>2797</v>
      </c>
      <c r="L42" s="102">
        <f t="shared" si="26"/>
        <v>18645</v>
      </c>
      <c r="M42" s="103">
        <f t="shared" si="30"/>
        <v>18645</v>
      </c>
      <c r="N42" s="104">
        <f t="shared" si="28"/>
        <v>0</v>
      </c>
      <c r="O42" s="105"/>
      <c r="P42" s="106"/>
      <c r="Q42" s="146">
        <f t="shared" si="2"/>
        <v>0</v>
      </c>
      <c r="R42" s="105"/>
      <c r="S42" s="106"/>
      <c r="T42" s="146">
        <f t="shared" si="3"/>
        <v>0</v>
      </c>
      <c r="U42" s="105"/>
      <c r="V42" s="106"/>
      <c r="W42" s="146">
        <f t="shared" si="4"/>
        <v>0</v>
      </c>
      <c r="X42" s="105"/>
      <c r="Y42" s="106"/>
      <c r="Z42" s="146">
        <f t="shared" si="5"/>
        <v>0</v>
      </c>
      <c r="AA42" s="105"/>
      <c r="AB42" s="106"/>
      <c r="AC42" s="151">
        <f t="shared" si="6"/>
        <v>0</v>
      </c>
      <c r="AD42" s="105"/>
      <c r="AE42" s="106"/>
      <c r="AF42" s="151">
        <f t="shared" si="7"/>
        <v>0</v>
      </c>
      <c r="AG42" s="105"/>
      <c r="AH42" s="106"/>
      <c r="AI42" s="151">
        <f t="shared" si="8"/>
        <v>0</v>
      </c>
      <c r="AJ42" s="105"/>
      <c r="AK42" s="106"/>
      <c r="AL42" s="151">
        <f t="shared" si="9"/>
        <v>0</v>
      </c>
      <c r="AM42" s="105">
        <v>0</v>
      </c>
      <c r="AN42" s="106">
        <v>0</v>
      </c>
      <c r="AO42" s="151">
        <f t="shared" si="10"/>
        <v>0</v>
      </c>
      <c r="AP42" s="105">
        <v>0</v>
      </c>
      <c r="AQ42" s="106">
        <v>0</v>
      </c>
      <c r="AR42" s="151">
        <f t="shared" si="11"/>
        <v>0</v>
      </c>
      <c r="AS42" s="105">
        <v>0</v>
      </c>
      <c r="AT42" s="106">
        <v>0</v>
      </c>
      <c r="AU42" s="151">
        <f t="shared" si="12"/>
        <v>0</v>
      </c>
      <c r="AV42" s="105">
        <v>0</v>
      </c>
      <c r="AW42" s="106">
        <v>0</v>
      </c>
      <c r="AX42" s="151">
        <f t="shared" si="13"/>
        <v>0</v>
      </c>
      <c r="AY42" s="105">
        <f t="shared" si="14"/>
        <v>0</v>
      </c>
      <c r="AZ42" s="106">
        <f t="shared" si="15"/>
        <v>0</v>
      </c>
      <c r="BA42" s="151">
        <f t="shared" si="16"/>
        <v>0</v>
      </c>
    </row>
    <row r="43" spans="1:53" s="107" customFormat="1" ht="30.2" customHeight="1" x14ac:dyDescent="0.25">
      <c r="A43" s="129" t="s">
        <v>29</v>
      </c>
      <c r="B43" s="130">
        <v>41790</v>
      </c>
      <c r="C43" s="130">
        <v>3400</v>
      </c>
      <c r="D43" s="131">
        <f t="shared" si="25"/>
        <v>45190</v>
      </c>
      <c r="E43" s="132"/>
      <c r="F43" s="130" t="s">
        <v>111</v>
      </c>
      <c r="G43" s="130">
        <f t="shared" si="0"/>
        <v>36790</v>
      </c>
      <c r="H43" s="130">
        <v>34190</v>
      </c>
      <c r="I43" s="130" t="s">
        <v>112</v>
      </c>
      <c r="J43" s="133">
        <f t="shared" si="1"/>
        <v>12000</v>
      </c>
      <c r="K43" s="101">
        <v>11000</v>
      </c>
      <c r="L43" s="102">
        <f t="shared" si="26"/>
        <v>45190</v>
      </c>
      <c r="M43" s="103">
        <f t="shared" si="30"/>
        <v>48790</v>
      </c>
      <c r="N43" s="104">
        <f t="shared" si="28"/>
        <v>3600</v>
      </c>
      <c r="O43" s="105"/>
      <c r="P43" s="106"/>
      <c r="Q43" s="146">
        <f t="shared" si="2"/>
        <v>0</v>
      </c>
      <c r="R43" s="105"/>
      <c r="S43" s="106">
        <v>200</v>
      </c>
      <c r="T43" s="146">
        <f t="shared" si="3"/>
        <v>200</v>
      </c>
      <c r="U43" s="105"/>
      <c r="V43" s="106"/>
      <c r="W43" s="146">
        <f t="shared" si="4"/>
        <v>0</v>
      </c>
      <c r="X43" s="105"/>
      <c r="Y43" s="106">
        <v>400</v>
      </c>
      <c r="Z43" s="146">
        <f t="shared" si="5"/>
        <v>400</v>
      </c>
      <c r="AA43" s="105">
        <v>400</v>
      </c>
      <c r="AB43" s="106"/>
      <c r="AC43" s="151">
        <f t="shared" si="6"/>
        <v>400</v>
      </c>
      <c r="AD43" s="105">
        <v>200</v>
      </c>
      <c r="AE43" s="106"/>
      <c r="AF43" s="151"/>
      <c r="AG43" s="105"/>
      <c r="AH43" s="106"/>
      <c r="AI43" s="151">
        <f t="shared" si="8"/>
        <v>0</v>
      </c>
      <c r="AJ43" s="105">
        <v>200</v>
      </c>
      <c r="AK43" s="106">
        <v>400</v>
      </c>
      <c r="AL43" s="151">
        <f t="shared" si="9"/>
        <v>600</v>
      </c>
      <c r="AM43" s="105">
        <v>800</v>
      </c>
      <c r="AN43" s="106">
        <v>0</v>
      </c>
      <c r="AO43" s="151">
        <f t="shared" si="10"/>
        <v>800</v>
      </c>
      <c r="AP43" s="105">
        <v>1000</v>
      </c>
      <c r="AQ43" s="106">
        <v>0</v>
      </c>
      <c r="AR43" s="151">
        <f t="shared" si="11"/>
        <v>1000</v>
      </c>
      <c r="AS43" s="105">
        <v>0</v>
      </c>
      <c r="AT43" s="106">
        <v>0</v>
      </c>
      <c r="AU43" s="151">
        <f t="shared" si="12"/>
        <v>0</v>
      </c>
      <c r="AV43" s="105">
        <v>0</v>
      </c>
      <c r="AW43" s="106">
        <v>0</v>
      </c>
      <c r="AX43" s="151">
        <f t="shared" si="13"/>
        <v>0</v>
      </c>
      <c r="AY43" s="105">
        <f t="shared" si="14"/>
        <v>2600</v>
      </c>
      <c r="AZ43" s="106">
        <f t="shared" si="15"/>
        <v>1000</v>
      </c>
      <c r="BA43" s="151">
        <f t="shared" si="16"/>
        <v>3600</v>
      </c>
    </row>
    <row r="44" spans="1:53" s="107" customFormat="1" ht="30.2" customHeight="1" x14ac:dyDescent="0.25">
      <c r="A44" s="129" t="s">
        <v>31</v>
      </c>
      <c r="B44" s="130">
        <v>374240</v>
      </c>
      <c r="C44" s="130">
        <v>4336</v>
      </c>
      <c r="D44" s="131">
        <f t="shared" si="25"/>
        <v>378576</v>
      </c>
      <c r="E44" s="132"/>
      <c r="F44" s="130" t="s">
        <v>115</v>
      </c>
      <c r="G44" s="130">
        <f t="shared" si="0"/>
        <v>304640</v>
      </c>
      <c r="H44" s="130">
        <v>304640</v>
      </c>
      <c r="I44" s="130" t="s">
        <v>116</v>
      </c>
      <c r="J44" s="133">
        <f t="shared" si="1"/>
        <v>74770</v>
      </c>
      <c r="K44" s="101">
        <v>73936</v>
      </c>
      <c r="L44" s="102">
        <f t="shared" si="26"/>
        <v>378576</v>
      </c>
      <c r="M44" s="103">
        <f t="shared" si="30"/>
        <v>379410</v>
      </c>
      <c r="N44" s="104">
        <f t="shared" si="28"/>
        <v>834</v>
      </c>
      <c r="O44" s="105"/>
      <c r="P44" s="106">
        <v>274</v>
      </c>
      <c r="Q44" s="146">
        <f t="shared" si="2"/>
        <v>274</v>
      </c>
      <c r="R44" s="105"/>
      <c r="S44" s="106">
        <v>204</v>
      </c>
      <c r="T44" s="146">
        <f t="shared" si="3"/>
        <v>204</v>
      </c>
      <c r="U44" s="105"/>
      <c r="V44" s="106"/>
      <c r="W44" s="146">
        <f t="shared" si="4"/>
        <v>0</v>
      </c>
      <c r="X44" s="105"/>
      <c r="Y44" s="106"/>
      <c r="Z44" s="146">
        <f t="shared" si="5"/>
        <v>0</v>
      </c>
      <c r="AA44" s="105"/>
      <c r="AB44" s="106"/>
      <c r="AC44" s="151">
        <f t="shared" si="6"/>
        <v>0</v>
      </c>
      <c r="AD44" s="105"/>
      <c r="AE44" s="106">
        <v>51</v>
      </c>
      <c r="AF44" s="151">
        <f t="shared" si="7"/>
        <v>51</v>
      </c>
      <c r="AG44" s="105"/>
      <c r="AH44" s="106"/>
      <c r="AI44" s="151">
        <f t="shared" si="8"/>
        <v>0</v>
      </c>
      <c r="AJ44" s="105"/>
      <c r="AK44" s="106"/>
      <c r="AL44" s="151">
        <f t="shared" si="9"/>
        <v>0</v>
      </c>
      <c r="AM44" s="105">
        <v>0</v>
      </c>
      <c r="AN44" s="106">
        <v>0</v>
      </c>
      <c r="AO44" s="151">
        <f t="shared" si="10"/>
        <v>0</v>
      </c>
      <c r="AP44" s="105">
        <v>0</v>
      </c>
      <c r="AQ44" s="106">
        <v>88</v>
      </c>
      <c r="AR44" s="151">
        <f t="shared" si="11"/>
        <v>88</v>
      </c>
      <c r="AS44" s="105">
        <v>0</v>
      </c>
      <c r="AT44" s="106">
        <v>217</v>
      </c>
      <c r="AU44" s="151">
        <f t="shared" si="12"/>
        <v>217</v>
      </c>
      <c r="AV44" s="105">
        <v>0</v>
      </c>
      <c r="AW44" s="106">
        <v>0</v>
      </c>
      <c r="AX44" s="151">
        <f t="shared" si="13"/>
        <v>0</v>
      </c>
      <c r="AY44" s="105">
        <f t="shared" si="14"/>
        <v>0</v>
      </c>
      <c r="AZ44" s="106">
        <f t="shared" si="15"/>
        <v>834</v>
      </c>
      <c r="BA44" s="151">
        <f t="shared" si="16"/>
        <v>834</v>
      </c>
    </row>
    <row r="45" spans="1:53" s="107" customFormat="1" ht="30.2" customHeight="1" thickBot="1" x14ac:dyDescent="0.3">
      <c r="A45" s="134" t="s">
        <v>127</v>
      </c>
      <c r="B45" s="135"/>
      <c r="C45" s="135"/>
      <c r="D45" s="136"/>
      <c r="E45" s="137"/>
      <c r="F45" s="135" t="str">
        <f>+F49</f>
        <v xml:space="preserve">TOTALGAZ </v>
      </c>
      <c r="G45" s="135">
        <f t="shared" si="0"/>
        <v>154836</v>
      </c>
      <c r="H45" s="135">
        <v>164676</v>
      </c>
      <c r="I45" s="135" t="str">
        <f>+I49</f>
        <v>GAS VILLEGAS</v>
      </c>
      <c r="J45" s="138">
        <f t="shared" si="1"/>
        <v>48680</v>
      </c>
      <c r="K45" s="108">
        <v>48680</v>
      </c>
      <c r="L45" s="102">
        <f t="shared" si="26"/>
        <v>213356</v>
      </c>
      <c r="M45" s="109">
        <f t="shared" si="30"/>
        <v>203516</v>
      </c>
      <c r="N45" s="104"/>
      <c r="O45" s="110">
        <v>-300</v>
      </c>
      <c r="P45" s="111"/>
      <c r="Q45" s="147"/>
      <c r="R45" s="110">
        <f>-300-800</f>
        <v>-1100</v>
      </c>
      <c r="S45" s="111"/>
      <c r="T45" s="147"/>
      <c r="U45" s="110">
        <f>-400-200</f>
        <v>-600</v>
      </c>
      <c r="V45" s="111"/>
      <c r="W45" s="147"/>
      <c r="X45" s="110">
        <f>-223-1200</f>
        <v>-1423</v>
      </c>
      <c r="Y45" s="111"/>
      <c r="Z45" s="147"/>
      <c r="AA45" s="110">
        <f>-530-800</f>
        <v>-1330</v>
      </c>
      <c r="AB45" s="111"/>
      <c r="AC45" s="152"/>
      <c r="AD45" s="110">
        <v>-1160</v>
      </c>
      <c r="AE45" s="111"/>
      <c r="AF45" s="152"/>
      <c r="AG45" s="110">
        <f>-500-200</f>
        <v>-700</v>
      </c>
      <c r="AH45" s="111"/>
      <c r="AI45" s="152"/>
      <c r="AJ45" s="110">
        <v>-567</v>
      </c>
      <c r="AK45" s="111"/>
      <c r="AL45" s="152"/>
      <c r="AM45" s="110">
        <v>-300</v>
      </c>
      <c r="AN45" s="111"/>
      <c r="AO45" s="152"/>
      <c r="AP45" s="110">
        <v>-300</v>
      </c>
      <c r="AQ45" s="111"/>
      <c r="AR45" s="152"/>
      <c r="AS45" s="110">
        <v>-300</v>
      </c>
      <c r="AT45" s="111"/>
      <c r="AU45" s="152"/>
      <c r="AV45" s="110">
        <f>-160-1600</f>
        <v>-1760</v>
      </c>
      <c r="AW45" s="111"/>
      <c r="AX45" s="152"/>
      <c r="AY45" s="110">
        <f>+O45+R45+U45+X45+AA45+AD45+AG45+AJ45+AM45+AP45+AS45+AV45</f>
        <v>-9840</v>
      </c>
      <c r="AZ45" s="149"/>
      <c r="BA45" s="147"/>
    </row>
    <row r="46" spans="1:53" ht="39.950000000000003" customHeight="1" x14ac:dyDescent="0.2">
      <c r="A46" s="21" t="s">
        <v>33</v>
      </c>
      <c r="B46" s="9">
        <f>SUM(B8:B44)</f>
        <v>998444</v>
      </c>
      <c r="C46" s="9">
        <f>SUM(C8:C44)</f>
        <v>129262</v>
      </c>
      <c r="D46" s="9">
        <f>SUM(D8:D44)</f>
        <v>1127706</v>
      </c>
      <c r="E46" s="10"/>
      <c r="F46" s="21" t="s">
        <v>42</v>
      </c>
      <c r="G46" s="9">
        <f>SUM(G8:G45)</f>
        <v>1019922</v>
      </c>
      <c r="H46" s="9">
        <f>SUM(H8:H44)</f>
        <v>833601</v>
      </c>
      <c r="I46" s="21" t="s">
        <v>117</v>
      </c>
      <c r="J46" s="9">
        <f>SUM(J8:J45)</f>
        <v>351849</v>
      </c>
      <c r="K46" s="9">
        <f>SUM(K8:K45)</f>
        <v>345845</v>
      </c>
      <c r="L46" s="9">
        <f>SUM(L8:L45)</f>
        <v>1344122</v>
      </c>
      <c r="M46" s="9">
        <f>SUM(M8:M45)</f>
        <v>1371771</v>
      </c>
      <c r="N46" s="35">
        <f t="shared" si="28"/>
        <v>27649</v>
      </c>
      <c r="O46" s="98">
        <f t="shared" ref="O46:BA46" si="31">SUM(O8:O44)</f>
        <v>1500</v>
      </c>
      <c r="P46" s="98">
        <f t="shared" si="31"/>
        <v>608</v>
      </c>
      <c r="Q46" s="98">
        <f t="shared" si="31"/>
        <v>2108</v>
      </c>
      <c r="R46" s="98">
        <f t="shared" si="31"/>
        <v>2600</v>
      </c>
      <c r="S46" s="98">
        <f t="shared" si="31"/>
        <v>686</v>
      </c>
      <c r="T46" s="98">
        <f t="shared" si="31"/>
        <v>3286</v>
      </c>
      <c r="U46" s="98">
        <f t="shared" si="31"/>
        <v>2500</v>
      </c>
      <c r="V46" s="98">
        <f t="shared" si="31"/>
        <v>160</v>
      </c>
      <c r="W46" s="98">
        <f t="shared" si="31"/>
        <v>2660</v>
      </c>
      <c r="X46" s="98">
        <f t="shared" si="31"/>
        <v>3723</v>
      </c>
      <c r="Y46" s="98">
        <f t="shared" si="31"/>
        <v>1106</v>
      </c>
      <c r="Z46" s="98">
        <f t="shared" si="31"/>
        <v>4829</v>
      </c>
      <c r="AA46" s="98">
        <f t="shared" si="31"/>
        <v>3910</v>
      </c>
      <c r="AB46" s="98">
        <f t="shared" si="31"/>
        <v>465</v>
      </c>
      <c r="AC46" s="98">
        <f t="shared" si="31"/>
        <v>4375</v>
      </c>
      <c r="AD46" s="98">
        <f t="shared" si="31"/>
        <v>2865</v>
      </c>
      <c r="AE46" s="98">
        <f t="shared" si="31"/>
        <v>151</v>
      </c>
      <c r="AF46" s="98">
        <f t="shared" si="31"/>
        <v>2816</v>
      </c>
      <c r="AG46" s="98">
        <f t="shared" si="31"/>
        <v>1650</v>
      </c>
      <c r="AH46" s="98">
        <f t="shared" si="31"/>
        <v>922</v>
      </c>
      <c r="AI46" s="98">
        <f t="shared" si="31"/>
        <v>2572</v>
      </c>
      <c r="AJ46" s="98">
        <f t="shared" si="31"/>
        <v>2596</v>
      </c>
      <c r="AK46" s="98">
        <f t="shared" si="31"/>
        <v>724</v>
      </c>
      <c r="AL46" s="98">
        <f t="shared" si="31"/>
        <v>3320</v>
      </c>
      <c r="AM46" s="98">
        <f t="shared" ref="AM46:AX46" si="32">SUM(AM8:AM44)</f>
        <v>3039</v>
      </c>
      <c r="AN46" s="98">
        <f t="shared" si="32"/>
        <v>219</v>
      </c>
      <c r="AO46" s="98">
        <f t="shared" si="32"/>
        <v>3258</v>
      </c>
      <c r="AP46" s="98">
        <f t="shared" si="32"/>
        <v>3070</v>
      </c>
      <c r="AQ46" s="98">
        <f t="shared" si="32"/>
        <v>406</v>
      </c>
      <c r="AR46" s="98">
        <f t="shared" si="32"/>
        <v>3476</v>
      </c>
      <c r="AS46" s="98">
        <f t="shared" si="32"/>
        <v>1772</v>
      </c>
      <c r="AT46" s="98">
        <f t="shared" si="32"/>
        <v>357</v>
      </c>
      <c r="AU46" s="98">
        <f t="shared" si="32"/>
        <v>2129</v>
      </c>
      <c r="AV46" s="98">
        <f t="shared" si="32"/>
        <v>2260</v>
      </c>
      <c r="AW46" s="98">
        <f t="shared" si="32"/>
        <v>200</v>
      </c>
      <c r="AX46" s="98">
        <f t="shared" si="32"/>
        <v>2460</v>
      </c>
      <c r="AY46" s="98">
        <f t="shared" si="31"/>
        <v>31485</v>
      </c>
      <c r="AZ46" s="98">
        <f t="shared" si="31"/>
        <v>6004</v>
      </c>
      <c r="BA46" s="98">
        <f t="shared" si="31"/>
        <v>37489</v>
      </c>
    </row>
    <row r="47" spans="1:53" ht="20.100000000000001" customHeight="1" x14ac:dyDescent="0.25">
      <c r="A47" s="10"/>
      <c r="B47" s="10"/>
      <c r="C47" s="10"/>
      <c r="D47" s="22"/>
      <c r="E47" s="10"/>
      <c r="F47" s="10"/>
      <c r="G47" s="10"/>
      <c r="H47" s="84"/>
      <c r="I47" s="10"/>
      <c r="J47" s="10"/>
      <c r="K47" s="84"/>
      <c r="L47" s="10"/>
      <c r="M47" s="23"/>
      <c r="N47" s="35">
        <f t="shared" si="28"/>
        <v>0</v>
      </c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100"/>
      <c r="AZ47" s="100"/>
      <c r="BA47" s="100"/>
    </row>
    <row r="48" spans="1:53" ht="20.100000000000001" customHeight="1" thickBot="1" x14ac:dyDescent="0.4">
      <c r="A48" s="174" t="s">
        <v>144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5"/>
      <c r="N48" s="35">
        <f t="shared" si="28"/>
        <v>0</v>
      </c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100"/>
      <c r="AZ48" s="100"/>
      <c r="BA48" s="100"/>
    </row>
    <row r="49" spans="1:53" s="107" customFormat="1" ht="30.2" customHeight="1" x14ac:dyDescent="0.25">
      <c r="A49" s="124" t="s">
        <v>30</v>
      </c>
      <c r="B49" s="125">
        <v>250091</v>
      </c>
      <c r="C49" s="125">
        <v>213356</v>
      </c>
      <c r="D49" s="126">
        <f>+C49-B49</f>
        <v>-36735</v>
      </c>
      <c r="E49" s="127"/>
      <c r="F49" s="125" t="s">
        <v>113</v>
      </c>
      <c r="G49" s="125">
        <f>+H49</f>
        <v>201411</v>
      </c>
      <c r="H49" s="125">
        <v>201411</v>
      </c>
      <c r="I49" s="125" t="s">
        <v>114</v>
      </c>
      <c r="J49" s="128">
        <f>+K49</f>
        <v>48680</v>
      </c>
      <c r="K49" s="112">
        <v>48680</v>
      </c>
      <c r="L49" s="102">
        <f t="shared" ref="L49:L51" si="33">+H49+K49</f>
        <v>250091</v>
      </c>
      <c r="M49" s="113">
        <f>+G49+J49</f>
        <v>250091</v>
      </c>
      <c r="N49" s="114">
        <f t="shared" si="28"/>
        <v>0</v>
      </c>
      <c r="O49" s="143"/>
      <c r="P49" s="144"/>
      <c r="Q49" s="145"/>
      <c r="R49" s="143"/>
      <c r="S49" s="144"/>
      <c r="T49" s="145"/>
      <c r="U49" s="143"/>
      <c r="V49" s="144"/>
      <c r="W49" s="145"/>
      <c r="X49" s="143"/>
      <c r="Y49" s="144"/>
      <c r="Z49" s="145"/>
      <c r="AA49" s="143"/>
      <c r="AB49" s="144"/>
      <c r="AC49" s="150"/>
      <c r="AD49" s="143"/>
      <c r="AE49" s="144"/>
      <c r="AF49" s="150"/>
      <c r="AG49" s="144"/>
      <c r="AH49" s="144"/>
      <c r="AI49" s="144"/>
      <c r="AJ49" s="143"/>
      <c r="AK49" s="144"/>
      <c r="AL49" s="150"/>
      <c r="AM49" s="143"/>
      <c r="AN49" s="144"/>
      <c r="AO49" s="150"/>
      <c r="AP49" s="143"/>
      <c r="AQ49" s="144"/>
      <c r="AR49" s="150"/>
      <c r="AS49" s="144"/>
      <c r="AT49" s="144"/>
      <c r="AU49" s="144"/>
      <c r="AV49" s="143"/>
      <c r="AW49" s="144"/>
      <c r="AX49" s="150"/>
      <c r="AY49" s="143"/>
      <c r="AZ49" s="144"/>
      <c r="BA49" s="145"/>
    </row>
    <row r="50" spans="1:53" s="107" customFormat="1" ht="30.2" customHeight="1" x14ac:dyDescent="0.25">
      <c r="A50" s="139" t="s">
        <v>39</v>
      </c>
      <c r="B50" s="130"/>
      <c r="C50" s="130">
        <f>16256+226+153</f>
        <v>16635</v>
      </c>
      <c r="D50" s="131">
        <f>+C50</f>
        <v>16635</v>
      </c>
      <c r="E50" s="132"/>
      <c r="F50" s="130" t="s">
        <v>120</v>
      </c>
      <c r="G50" s="130">
        <f>+H50+O50+R50+U50+X50+AA50+AD50+AG50+AJ50+AM50+AP50+AS50+AV50</f>
        <v>20975</v>
      </c>
      <c r="H50" s="130">
        <v>16635</v>
      </c>
      <c r="I50" s="130"/>
      <c r="J50" s="133">
        <f>+K50+P50+S50+V50+AZ50</f>
        <v>0</v>
      </c>
      <c r="K50" s="108"/>
      <c r="L50" s="102">
        <f t="shared" si="33"/>
        <v>16635</v>
      </c>
      <c r="M50" s="103">
        <f>+G50+J50</f>
        <v>20975</v>
      </c>
      <c r="N50" s="114"/>
      <c r="O50" s="105">
        <v>200</v>
      </c>
      <c r="P50" s="106"/>
      <c r="Q50" s="146">
        <f t="shared" ref="Q50" si="34">SUM(O50:P50)</f>
        <v>200</v>
      </c>
      <c r="R50" s="105">
        <v>300</v>
      </c>
      <c r="S50" s="106"/>
      <c r="T50" s="146">
        <f t="shared" ref="T50" si="35">SUM(R50:S50)</f>
        <v>300</v>
      </c>
      <c r="U50" s="105">
        <v>400</v>
      </c>
      <c r="V50" s="106"/>
      <c r="W50" s="146">
        <f t="shared" ref="W50" si="36">SUM(U50:V50)</f>
        <v>400</v>
      </c>
      <c r="X50" s="105">
        <v>223</v>
      </c>
      <c r="Y50" s="106"/>
      <c r="Z50" s="146">
        <f t="shared" ref="Z50" si="37">SUM(X50:Y50)</f>
        <v>223</v>
      </c>
      <c r="AA50" s="105">
        <v>530</v>
      </c>
      <c r="AB50" s="106"/>
      <c r="AC50" s="151">
        <f t="shared" ref="AC50" si="38">SUM(AA50:AB50)</f>
        <v>530</v>
      </c>
      <c r="AD50" s="105">
        <v>560</v>
      </c>
      <c r="AE50" s="106"/>
      <c r="AF50" s="151">
        <f>SUM(AD50:AE50)</f>
        <v>560</v>
      </c>
      <c r="AG50" s="106">
        <v>500</v>
      </c>
      <c r="AH50" s="106"/>
      <c r="AI50" s="106">
        <f>SUM(AG50:AH50)</f>
        <v>500</v>
      </c>
      <c r="AJ50" s="105">
        <v>567</v>
      </c>
      <c r="AK50" s="106"/>
      <c r="AL50" s="151">
        <f>SUM(AJ50:AK50)</f>
        <v>567</v>
      </c>
      <c r="AM50" s="105">
        <v>300</v>
      </c>
      <c r="AN50" s="106"/>
      <c r="AO50" s="151">
        <f>SUM(AM50:AN50)</f>
        <v>300</v>
      </c>
      <c r="AP50" s="105">
        <v>300</v>
      </c>
      <c r="AQ50" s="106"/>
      <c r="AR50" s="151">
        <f>SUM(AP50:AQ50)</f>
        <v>300</v>
      </c>
      <c r="AS50" s="106">
        <v>300</v>
      </c>
      <c r="AT50" s="106"/>
      <c r="AU50" s="106">
        <f>SUM(AS50:AT50)</f>
        <v>300</v>
      </c>
      <c r="AV50" s="105">
        <v>160</v>
      </c>
      <c r="AW50" s="106"/>
      <c r="AX50" s="151">
        <f>SUM(AV50:AW50)</f>
        <v>160</v>
      </c>
      <c r="AY50" s="105">
        <f>+O50+R50+U50+X50+AA50+AD50+AG50+AJ50+AM50+AP50+AS50+AV50</f>
        <v>4340</v>
      </c>
      <c r="AZ50" s="106">
        <f>+P50+S50+V50+Y50+AB50+AE50+AH50</f>
        <v>0</v>
      </c>
      <c r="BA50" s="146">
        <f>SUM(AY50:AZ50)</f>
        <v>4340</v>
      </c>
    </row>
    <row r="51" spans="1:53" s="107" customFormat="1" ht="30.2" customHeight="1" thickBot="1" x14ac:dyDescent="0.3">
      <c r="A51" s="134" t="s">
        <v>40</v>
      </c>
      <c r="B51" s="135"/>
      <c r="C51" s="135">
        <v>20100</v>
      </c>
      <c r="D51" s="136">
        <f>+C51</f>
        <v>20100</v>
      </c>
      <c r="E51" s="137"/>
      <c r="F51" s="135" t="s">
        <v>121</v>
      </c>
      <c r="G51" s="135">
        <f>+H51+O51+R51+U51+X51+AA51+AD51+AG51+AJ51++AM51+AP51+AV51</f>
        <v>25600</v>
      </c>
      <c r="H51" s="135">
        <v>20100</v>
      </c>
      <c r="I51" s="135"/>
      <c r="J51" s="138">
        <f t="shared" ref="J51" si="39">+K51+P51+S51+V51+AZ51</f>
        <v>0</v>
      </c>
      <c r="K51" s="108"/>
      <c r="L51" s="102">
        <f t="shared" si="33"/>
        <v>20100</v>
      </c>
      <c r="M51" s="109">
        <f>+G51+J51</f>
        <v>25600</v>
      </c>
      <c r="N51" s="114"/>
      <c r="O51" s="110">
        <v>100</v>
      </c>
      <c r="P51" s="111"/>
      <c r="Q51" s="147">
        <f t="shared" ref="Q51" si="40">SUM(O51:P51)</f>
        <v>100</v>
      </c>
      <c r="R51" s="110">
        <v>800</v>
      </c>
      <c r="S51" s="111"/>
      <c r="T51" s="147">
        <f t="shared" ref="T51" si="41">SUM(R51:S51)</f>
        <v>800</v>
      </c>
      <c r="U51" s="110">
        <v>200</v>
      </c>
      <c r="V51" s="111"/>
      <c r="W51" s="147">
        <f t="shared" ref="W51" si="42">SUM(U51:V51)</f>
        <v>200</v>
      </c>
      <c r="X51" s="110">
        <v>1200</v>
      </c>
      <c r="Y51" s="111"/>
      <c r="Z51" s="147">
        <f t="shared" ref="Z51" si="43">SUM(X51:Y51)</f>
        <v>1200</v>
      </c>
      <c r="AA51" s="110">
        <v>800</v>
      </c>
      <c r="AB51" s="111"/>
      <c r="AC51" s="152">
        <f t="shared" ref="AC51" si="44">SUM(AA51:AB51)</f>
        <v>800</v>
      </c>
      <c r="AD51" s="110">
        <v>600</v>
      </c>
      <c r="AE51" s="111"/>
      <c r="AF51" s="152">
        <f>SUM(AD51:AE51)</f>
        <v>600</v>
      </c>
      <c r="AG51" s="111">
        <v>200</v>
      </c>
      <c r="AH51" s="111"/>
      <c r="AI51" s="111">
        <f>SUM(AG51:AH51)</f>
        <v>200</v>
      </c>
      <c r="AJ51" s="110"/>
      <c r="AK51" s="111"/>
      <c r="AL51" s="152">
        <f>SUM(AJ51:AK51)</f>
        <v>0</v>
      </c>
      <c r="AM51" s="110">
        <v>0</v>
      </c>
      <c r="AN51" s="111"/>
      <c r="AO51" s="152">
        <f>SUM(AM51:AN51)</f>
        <v>0</v>
      </c>
      <c r="AP51" s="110">
        <v>0</v>
      </c>
      <c r="AQ51" s="111"/>
      <c r="AR51" s="152">
        <f>SUM(AP51:AQ51)</f>
        <v>0</v>
      </c>
      <c r="AS51" s="111">
        <v>0</v>
      </c>
      <c r="AT51" s="111"/>
      <c r="AU51" s="111">
        <f>SUM(AS51:AT51)</f>
        <v>0</v>
      </c>
      <c r="AV51" s="110">
        <v>1600</v>
      </c>
      <c r="AW51" s="111"/>
      <c r="AX51" s="152">
        <f>SUM(AV51:AW51)</f>
        <v>1600</v>
      </c>
      <c r="AY51" s="110">
        <f>+O51+R51+U51+X51+AA51+AD51+AG51+AJ51+AM51+AP51+AS51+AV51</f>
        <v>5500</v>
      </c>
      <c r="AZ51" s="111">
        <f>+P51+S51+V51+Y51+AB51+AE51+AH51</f>
        <v>0</v>
      </c>
      <c r="BA51" s="147">
        <f>SUM(AY51:AZ51)</f>
        <v>5500</v>
      </c>
    </row>
    <row r="52" spans="1:53" ht="35.450000000000003" customHeight="1" x14ac:dyDescent="0.2">
      <c r="A52" s="43" t="s">
        <v>128</v>
      </c>
      <c r="D52" s="31"/>
      <c r="E52" s="10"/>
      <c r="F52" s="50" t="s">
        <v>113</v>
      </c>
      <c r="G52" s="9">
        <f>+G49-G50-G51</f>
        <v>154836</v>
      </c>
      <c r="H52" s="50"/>
      <c r="I52" s="51" t="s">
        <v>114</v>
      </c>
      <c r="J52" s="9">
        <f>+J49-J50-J51</f>
        <v>48680</v>
      </c>
      <c r="K52" s="44"/>
      <c r="L52" s="21"/>
      <c r="M52" s="9">
        <f>+M49-M50-M51</f>
        <v>203516</v>
      </c>
      <c r="N52" s="35">
        <f t="shared" si="28"/>
        <v>203516</v>
      </c>
      <c r="O52" s="98">
        <f>SUM(O49:O51)</f>
        <v>300</v>
      </c>
      <c r="P52" s="98">
        <f t="shared" ref="P52:AZ52" si="45">SUM(P49:P51)</f>
        <v>0</v>
      </c>
      <c r="Q52" s="98">
        <f t="shared" si="45"/>
        <v>300</v>
      </c>
      <c r="R52" s="98">
        <f t="shared" si="45"/>
        <v>1100</v>
      </c>
      <c r="S52" s="98">
        <f t="shared" si="45"/>
        <v>0</v>
      </c>
      <c r="T52" s="98">
        <f t="shared" si="45"/>
        <v>1100</v>
      </c>
      <c r="U52" s="98">
        <f t="shared" si="45"/>
        <v>600</v>
      </c>
      <c r="V52" s="98">
        <f t="shared" si="45"/>
        <v>0</v>
      </c>
      <c r="W52" s="98">
        <f t="shared" si="45"/>
        <v>600</v>
      </c>
      <c r="X52" s="98">
        <f t="shared" si="45"/>
        <v>1423</v>
      </c>
      <c r="Y52" s="98">
        <f t="shared" si="45"/>
        <v>0</v>
      </c>
      <c r="Z52" s="98">
        <f t="shared" si="45"/>
        <v>1423</v>
      </c>
      <c r="AA52" s="98">
        <f t="shared" ref="AA52:AC52" si="46">SUM(AA49:AA51)</f>
        <v>1330</v>
      </c>
      <c r="AB52" s="98">
        <f t="shared" si="46"/>
        <v>0</v>
      </c>
      <c r="AC52" s="98">
        <f t="shared" si="46"/>
        <v>1330</v>
      </c>
      <c r="AD52" s="98">
        <f>SUM(AD49:AD51)</f>
        <v>1160</v>
      </c>
      <c r="AE52" s="98">
        <f>SUM(AE49:AE51)</f>
        <v>0</v>
      </c>
      <c r="AF52" s="98">
        <f t="shared" ref="AF52:AL52" si="47">SUM(AF50:AF51)</f>
        <v>1160</v>
      </c>
      <c r="AG52" s="98">
        <f t="shared" si="47"/>
        <v>700</v>
      </c>
      <c r="AH52" s="98">
        <f t="shared" si="47"/>
        <v>0</v>
      </c>
      <c r="AI52" s="98">
        <f t="shared" si="47"/>
        <v>700</v>
      </c>
      <c r="AJ52" s="98">
        <f t="shared" si="47"/>
        <v>567</v>
      </c>
      <c r="AK52" s="98">
        <f t="shared" si="47"/>
        <v>0</v>
      </c>
      <c r="AL52" s="98">
        <f t="shared" si="47"/>
        <v>567</v>
      </c>
      <c r="AM52" s="98">
        <f>SUM(AM49:AM51)</f>
        <v>300</v>
      </c>
      <c r="AN52" s="98">
        <f>SUM(AN50:AN51)</f>
        <v>0</v>
      </c>
      <c r="AO52" s="98">
        <f>SUM(AO50:AO51)</f>
        <v>300</v>
      </c>
      <c r="AP52" s="98">
        <f>SUM(AP49:AP51)</f>
        <v>300</v>
      </c>
      <c r="AQ52" s="98">
        <f>SUM(AQ50:AQ51)</f>
        <v>0</v>
      </c>
      <c r="AR52" s="98">
        <f>SUM(AR50:AR51)</f>
        <v>300</v>
      </c>
      <c r="AS52" s="98">
        <f>SUM(AS49:AS51)</f>
        <v>300</v>
      </c>
      <c r="AT52" s="98">
        <f>SUM(AT50:AT51)</f>
        <v>0</v>
      </c>
      <c r="AU52" s="98">
        <f>SUM(AU50:AU51)</f>
        <v>300</v>
      </c>
      <c r="AV52" s="98">
        <f>SUM(AV50:AV51)</f>
        <v>1760</v>
      </c>
      <c r="AW52" s="98">
        <f>SUM(AW50:AW51)</f>
        <v>0</v>
      </c>
      <c r="AX52" s="98">
        <f>SUM(AX50:AX51)</f>
        <v>1760</v>
      </c>
      <c r="AY52" s="98">
        <f>SUM(AY49:AY51)</f>
        <v>9840</v>
      </c>
      <c r="AZ52" s="98">
        <f t="shared" si="45"/>
        <v>0</v>
      </c>
      <c r="BA52" s="98">
        <f>SUM(BA49:BA51)</f>
        <v>9840</v>
      </c>
    </row>
    <row r="53" spans="1:53" ht="20.100000000000001" customHeight="1" x14ac:dyDescent="0.2">
      <c r="A53" s="187"/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</row>
    <row r="54" spans="1:53" ht="15" customHeight="1" x14ac:dyDescent="0.2">
      <c r="A54" s="186" t="s">
        <v>41</v>
      </c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V54" s="171">
        <v>45026</v>
      </c>
      <c r="W54" s="171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Z54" s="172"/>
      <c r="BA54" s="172"/>
    </row>
    <row r="55" spans="1:53" x14ac:dyDescent="0.2">
      <c r="H55" s="2"/>
      <c r="M55" s="155"/>
    </row>
    <row r="57" spans="1:53" x14ac:dyDescent="0.2">
      <c r="G57" s="2"/>
    </row>
    <row r="63" spans="1:53" x14ac:dyDescent="0.2">
      <c r="Q63" s="47" t="s">
        <v>131</v>
      </c>
    </row>
  </sheetData>
  <mergeCells count="42">
    <mergeCell ref="A54:M54"/>
    <mergeCell ref="N34:N35"/>
    <mergeCell ref="L34:L35"/>
    <mergeCell ref="B29:B32"/>
    <mergeCell ref="C29:C32"/>
    <mergeCell ref="D29:D32"/>
    <mergeCell ref="M29:M32"/>
    <mergeCell ref="N29:N32"/>
    <mergeCell ref="L29:L32"/>
    <mergeCell ref="A34:A35"/>
    <mergeCell ref="B34:B35"/>
    <mergeCell ref="A53:M53"/>
    <mergeCell ref="U5:W5"/>
    <mergeCell ref="AY5:BA5"/>
    <mergeCell ref="L9:L12"/>
    <mergeCell ref="N9:N12"/>
    <mergeCell ref="M9:M12"/>
    <mergeCell ref="X5:Z5"/>
    <mergeCell ref="AA5:AC5"/>
    <mergeCell ref="AD5:AF5"/>
    <mergeCell ref="AG5:AI5"/>
    <mergeCell ref="AJ5:AL5"/>
    <mergeCell ref="AM5:AO5"/>
    <mergeCell ref="AP5:AR5"/>
    <mergeCell ref="AS5:AU5"/>
    <mergeCell ref="AV5:AX5"/>
    <mergeCell ref="G4:M4"/>
    <mergeCell ref="V54:W54"/>
    <mergeCell ref="AZ54:BA54"/>
    <mergeCell ref="A1:BA2"/>
    <mergeCell ref="A48:M48"/>
    <mergeCell ref="C34:C35"/>
    <mergeCell ref="D34:D35"/>
    <mergeCell ref="M34:M35"/>
    <mergeCell ref="C9:C12"/>
    <mergeCell ref="D9:D12"/>
    <mergeCell ref="A29:A32"/>
    <mergeCell ref="D5:D7"/>
    <mergeCell ref="A9:A12"/>
    <mergeCell ref="B9:B12"/>
    <mergeCell ref="O5:Q5"/>
    <mergeCell ref="R5:T5"/>
  </mergeCells>
  <printOptions horizontalCentered="1"/>
  <pageMargins left="0" right="0" top="0.35433070866141736" bottom="0" header="0.31496062992125984" footer="0.31496062992125984"/>
  <pageSetup paperSize="9" scale="48" orientation="portrait" horizontalDpi="360" verticalDpi="360" r:id="rId1"/>
  <ignoredErrors>
    <ignoredError sqref="AI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55"/>
  <sheetViews>
    <sheetView workbookViewId="0">
      <selection activeCell="M52" sqref="M52"/>
    </sheetView>
  </sheetViews>
  <sheetFormatPr baseColWidth="10" defaultColWidth="9" defaultRowHeight="12.75" x14ac:dyDescent="0.2"/>
  <cols>
    <col min="1" max="1" width="36.5703125" style="1" customWidth="1"/>
    <col min="2" max="6" width="20.7109375" style="1" customWidth="1"/>
    <col min="7" max="7" width="1.28515625" style="1" customWidth="1"/>
    <col min="8" max="8" width="23.85546875" style="1" bestFit="1" customWidth="1"/>
    <col min="9" max="12" width="20.7109375" style="1" customWidth="1"/>
    <col min="13" max="13" width="20.7109375" style="78" customWidth="1"/>
    <col min="14" max="14" width="0" style="1" hidden="1" customWidth="1"/>
    <col min="15" max="16384" width="9" style="1"/>
  </cols>
  <sheetData>
    <row r="1" spans="1:14" ht="25.15" customHeight="1" x14ac:dyDescent="0.2"/>
    <row r="2" spans="1:14" ht="39.950000000000003" customHeight="1" x14ac:dyDescent="0.2">
      <c r="A2" s="161" t="s">
        <v>150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4" ht="39.950000000000003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79"/>
    </row>
    <row r="4" spans="1:14" ht="27.75" customHeight="1" x14ac:dyDescent="0.2">
      <c r="A4" s="10"/>
      <c r="B4" s="189" t="s">
        <v>42</v>
      </c>
      <c r="C4" s="189"/>
      <c r="D4" s="189"/>
      <c r="E4" s="189"/>
      <c r="F4" s="189"/>
      <c r="G4" s="45"/>
      <c r="H4" s="190" t="s">
        <v>117</v>
      </c>
      <c r="I4" s="190"/>
      <c r="J4" s="190"/>
      <c r="K4" s="190"/>
      <c r="L4" s="190"/>
      <c r="M4" s="80"/>
    </row>
    <row r="5" spans="1:14" ht="31.5" x14ac:dyDescent="0.2">
      <c r="A5" s="13" t="s">
        <v>0</v>
      </c>
      <c r="B5" s="64" t="s">
        <v>132</v>
      </c>
      <c r="C5" s="65" t="s">
        <v>134</v>
      </c>
      <c r="D5" s="65" t="s">
        <v>135</v>
      </c>
      <c r="E5" s="68" t="s">
        <v>136</v>
      </c>
      <c r="F5" s="66" t="s">
        <v>133</v>
      </c>
      <c r="G5" s="67"/>
      <c r="H5" s="71" t="s">
        <v>132</v>
      </c>
      <c r="I5" s="72" t="s">
        <v>134</v>
      </c>
      <c r="J5" s="72" t="s">
        <v>135</v>
      </c>
      <c r="K5" s="73" t="s">
        <v>137</v>
      </c>
      <c r="L5" s="73" t="s">
        <v>133</v>
      </c>
      <c r="M5" s="81" t="s">
        <v>119</v>
      </c>
    </row>
    <row r="6" spans="1:14" ht="24.95" customHeight="1" x14ac:dyDescent="0.2">
      <c r="A6" s="6" t="s">
        <v>2</v>
      </c>
      <c r="B6" s="7" t="s">
        <v>43</v>
      </c>
      <c r="C6" s="20">
        <f>98600+10000+10000</f>
        <v>118600</v>
      </c>
      <c r="D6" s="20">
        <f>+'RH MENSUAL 2023'!G8</f>
        <v>94745</v>
      </c>
      <c r="E6" s="70">
        <v>25</v>
      </c>
      <c r="F6" s="8">
        <f>+C6-D6-E6</f>
        <v>23830</v>
      </c>
      <c r="G6" s="69"/>
      <c r="H6" s="7" t="s">
        <v>44</v>
      </c>
      <c r="I6" s="20">
        <v>42200</v>
      </c>
      <c r="J6" s="20">
        <f>+'RH MENSUAL 2023'!J8</f>
        <v>42141</v>
      </c>
      <c r="K6" s="70">
        <v>1</v>
      </c>
      <c r="L6" s="8">
        <f>+I6-J6-K6</f>
        <v>58</v>
      </c>
      <c r="M6" s="91">
        <f>+D6+J6</f>
        <v>136886</v>
      </c>
      <c r="N6" s="2">
        <f>+D6+J6</f>
        <v>136886</v>
      </c>
    </row>
    <row r="7" spans="1:14" ht="24.95" customHeight="1" x14ac:dyDescent="0.2">
      <c r="A7" s="166" t="s">
        <v>4</v>
      </c>
      <c r="B7" s="7" t="s">
        <v>47</v>
      </c>
      <c r="C7" s="20">
        <f>138600+6000+4000+10000</f>
        <v>158600</v>
      </c>
      <c r="D7" s="20">
        <f>+'RH MENSUAL 2023'!G9</f>
        <v>144793</v>
      </c>
      <c r="E7" s="70">
        <v>1</v>
      </c>
      <c r="F7" s="8">
        <f t="shared" ref="F7:F43" si="0">+C7-D7-E7</f>
        <v>13806</v>
      </c>
      <c r="G7" s="33"/>
      <c r="H7" s="7" t="s">
        <v>48</v>
      </c>
      <c r="I7" s="20">
        <v>70400</v>
      </c>
      <c r="J7" s="20">
        <f>+'RH MENSUAL 2023'!J9</f>
        <v>70400</v>
      </c>
      <c r="K7" s="70"/>
      <c r="L7" s="8">
        <f t="shared" ref="L7:L43" si="1">+I7-J7-K7</f>
        <v>0</v>
      </c>
      <c r="M7" s="188">
        <f>+D7+D8+D10+J7+J8+J10+D9+J9</f>
        <v>232392</v>
      </c>
      <c r="N7" s="2">
        <f t="shared" ref="N7:N44" si="2">+D7+J7</f>
        <v>215193</v>
      </c>
    </row>
    <row r="8" spans="1:14" ht="24.95" customHeight="1" x14ac:dyDescent="0.2">
      <c r="A8" s="166"/>
      <c r="B8" s="7" t="s">
        <v>49</v>
      </c>
      <c r="C8" s="20">
        <v>5200</v>
      </c>
      <c r="D8" s="20">
        <f>+'RH MENSUAL 2023'!G10</f>
        <v>5094</v>
      </c>
      <c r="E8" s="70"/>
      <c r="F8" s="8">
        <f t="shared" si="0"/>
        <v>106</v>
      </c>
      <c r="G8" s="33"/>
      <c r="H8" s="7" t="s">
        <v>50</v>
      </c>
      <c r="I8" s="20">
        <v>1400</v>
      </c>
      <c r="J8" s="20">
        <f>+'RH MENSUAL 2023'!J10</f>
        <v>1399</v>
      </c>
      <c r="K8" s="70"/>
      <c r="L8" s="8">
        <f t="shared" si="1"/>
        <v>1</v>
      </c>
      <c r="M8" s="188"/>
      <c r="N8" s="2">
        <f t="shared" si="2"/>
        <v>6493</v>
      </c>
    </row>
    <row r="9" spans="1:14" ht="24.95" customHeight="1" x14ac:dyDescent="0.2">
      <c r="A9" s="166"/>
      <c r="B9" s="7" t="s">
        <v>45</v>
      </c>
      <c r="C9" s="20">
        <v>3400</v>
      </c>
      <c r="D9" s="20">
        <f>+'RH MENSUAL 2023'!G11</f>
        <v>3068</v>
      </c>
      <c r="E9" s="70"/>
      <c r="F9" s="8">
        <f t="shared" ref="F9" si="3">+C9-D9-E9</f>
        <v>332</v>
      </c>
      <c r="G9" s="33"/>
      <c r="H9" s="7" t="s">
        <v>146</v>
      </c>
      <c r="I9" s="20">
        <v>800</v>
      </c>
      <c r="J9" s="20">
        <f>+'RH MENSUAL 2023'!J11</f>
        <v>462</v>
      </c>
      <c r="K9" s="70"/>
      <c r="L9" s="8">
        <f t="shared" ref="L9" si="4">+I9-J9-K9</f>
        <v>338</v>
      </c>
      <c r="M9" s="188"/>
      <c r="N9" s="2"/>
    </row>
    <row r="10" spans="1:14" ht="24.95" customHeight="1" x14ac:dyDescent="0.2">
      <c r="A10" s="166"/>
      <c r="B10" s="7" t="s">
        <v>75</v>
      </c>
      <c r="C10" s="20">
        <v>4200</v>
      </c>
      <c r="D10" s="20">
        <f>+'RH MENSUAL 2023'!G12</f>
        <v>4176</v>
      </c>
      <c r="E10" s="70">
        <v>18</v>
      </c>
      <c r="F10" s="8">
        <f t="shared" si="0"/>
        <v>6</v>
      </c>
      <c r="G10" s="33"/>
      <c r="H10" s="7" t="s">
        <v>76</v>
      </c>
      <c r="I10" s="20">
        <v>3000</v>
      </c>
      <c r="J10" s="20">
        <f>+'RH MENSUAL 2023'!J12</f>
        <v>3000</v>
      </c>
      <c r="K10" s="70"/>
      <c r="L10" s="8">
        <f t="shared" si="1"/>
        <v>0</v>
      </c>
      <c r="M10" s="188"/>
      <c r="N10" s="2">
        <f t="shared" si="2"/>
        <v>7176</v>
      </c>
    </row>
    <row r="11" spans="1:14" ht="24.95" customHeight="1" x14ac:dyDescent="0.2">
      <c r="A11" s="6" t="s">
        <v>5</v>
      </c>
      <c r="B11" s="7" t="s">
        <v>51</v>
      </c>
      <c r="C11" s="20">
        <v>4400</v>
      </c>
      <c r="D11" s="20">
        <f>+'RH MENSUAL 2023'!G13</f>
        <v>4395</v>
      </c>
      <c r="E11" s="70">
        <v>1</v>
      </c>
      <c r="F11" s="8">
        <f t="shared" si="0"/>
        <v>4</v>
      </c>
      <c r="G11" s="33"/>
      <c r="H11" s="7" t="s">
        <v>52</v>
      </c>
      <c r="I11" s="20">
        <v>2200</v>
      </c>
      <c r="J11" s="20">
        <f>+'RH MENSUAL 2023'!J13</f>
        <v>1603</v>
      </c>
      <c r="K11" s="70"/>
      <c r="L11" s="8">
        <f t="shared" si="1"/>
        <v>597</v>
      </c>
      <c r="M11" s="91">
        <f t="shared" ref="M11:M26" si="5">+D11+J11</f>
        <v>5998</v>
      </c>
      <c r="N11" s="2">
        <f t="shared" si="2"/>
        <v>5998</v>
      </c>
    </row>
    <row r="12" spans="1:14" ht="24.95" customHeight="1" x14ac:dyDescent="0.2">
      <c r="A12" s="6" t="s">
        <v>6</v>
      </c>
      <c r="B12" s="7" t="s">
        <v>55</v>
      </c>
      <c r="C12" s="20">
        <f>3000+600</f>
        <v>3600</v>
      </c>
      <c r="D12" s="20">
        <f>+'RH MENSUAL 2023'!G14</f>
        <v>2930</v>
      </c>
      <c r="E12" s="70"/>
      <c r="F12" s="8">
        <f t="shared" si="0"/>
        <v>670</v>
      </c>
      <c r="G12" s="33"/>
      <c r="H12" s="7" t="s">
        <v>56</v>
      </c>
      <c r="I12" s="20">
        <v>1800</v>
      </c>
      <c r="J12" s="20">
        <f>+'RH MENSUAL 2023'!J14</f>
        <v>1773</v>
      </c>
      <c r="K12" s="70"/>
      <c r="L12" s="8">
        <f t="shared" si="1"/>
        <v>27</v>
      </c>
      <c r="M12" s="91">
        <f t="shared" si="5"/>
        <v>4703</v>
      </c>
      <c r="N12" s="2">
        <f t="shared" si="2"/>
        <v>4703</v>
      </c>
    </row>
    <row r="13" spans="1:14" ht="24.95" customHeight="1" x14ac:dyDescent="0.2">
      <c r="A13" s="6" t="s">
        <v>7</v>
      </c>
      <c r="B13" s="7" t="s">
        <v>57</v>
      </c>
      <c r="C13" s="20">
        <v>3400</v>
      </c>
      <c r="D13" s="20">
        <f>+'RH MENSUAL 2023'!G15</f>
        <v>3395</v>
      </c>
      <c r="E13" s="70"/>
      <c r="F13" s="8">
        <f t="shared" si="0"/>
        <v>5</v>
      </c>
      <c r="G13" s="33"/>
      <c r="H13" s="7" t="s">
        <v>58</v>
      </c>
      <c r="I13" s="20">
        <v>1400</v>
      </c>
      <c r="J13" s="20">
        <f>+'RH MENSUAL 2023'!J15</f>
        <v>1001</v>
      </c>
      <c r="K13" s="70"/>
      <c r="L13" s="8">
        <f t="shared" si="1"/>
        <v>399</v>
      </c>
      <c r="M13" s="91">
        <f t="shared" si="5"/>
        <v>4396</v>
      </c>
      <c r="N13" s="2">
        <f t="shared" si="2"/>
        <v>4396</v>
      </c>
    </row>
    <row r="14" spans="1:14" ht="24.95" customHeight="1" x14ac:dyDescent="0.2">
      <c r="A14" s="6" t="s">
        <v>8</v>
      </c>
      <c r="B14" s="7" t="s">
        <v>59</v>
      </c>
      <c r="C14" s="20">
        <v>2200</v>
      </c>
      <c r="D14" s="20">
        <f>+'RH MENSUAL 2023'!G16</f>
        <v>2200</v>
      </c>
      <c r="E14" s="70"/>
      <c r="F14" s="8">
        <f t="shared" si="0"/>
        <v>0</v>
      </c>
      <c r="G14" s="33"/>
      <c r="H14" s="7" t="s">
        <v>60</v>
      </c>
      <c r="I14" s="20">
        <v>1000</v>
      </c>
      <c r="J14" s="20">
        <f>+'RH MENSUAL 2023'!J16</f>
        <v>811</v>
      </c>
      <c r="K14" s="70"/>
      <c r="L14" s="8">
        <f t="shared" si="1"/>
        <v>189</v>
      </c>
      <c r="M14" s="91">
        <f t="shared" si="5"/>
        <v>3011</v>
      </c>
      <c r="N14" s="2">
        <f t="shared" si="2"/>
        <v>3011</v>
      </c>
    </row>
    <row r="15" spans="1:14" ht="24.95" customHeight="1" x14ac:dyDescent="0.2">
      <c r="A15" s="6" t="s">
        <v>9</v>
      </c>
      <c r="B15" s="7" t="s">
        <v>61</v>
      </c>
      <c r="C15" s="20">
        <v>2400</v>
      </c>
      <c r="D15" s="20">
        <f>+'RH MENSUAL 2023'!G17</f>
        <v>2398</v>
      </c>
      <c r="E15" s="70"/>
      <c r="F15" s="8">
        <f t="shared" si="0"/>
        <v>2</v>
      </c>
      <c r="G15" s="33"/>
      <c r="H15" s="7" t="s">
        <v>62</v>
      </c>
      <c r="I15" s="20">
        <v>1000</v>
      </c>
      <c r="J15" s="20">
        <f>+'RH MENSUAL 2023'!J17</f>
        <v>800</v>
      </c>
      <c r="K15" s="70"/>
      <c r="L15" s="8">
        <f t="shared" si="1"/>
        <v>200</v>
      </c>
      <c r="M15" s="91">
        <f t="shared" si="5"/>
        <v>3198</v>
      </c>
      <c r="N15" s="2">
        <f t="shared" si="2"/>
        <v>3198</v>
      </c>
    </row>
    <row r="16" spans="1:14" ht="24.95" customHeight="1" x14ac:dyDescent="0.2">
      <c r="A16" s="6" t="s">
        <v>10</v>
      </c>
      <c r="B16" s="7" t="s">
        <v>63</v>
      </c>
      <c r="C16" s="20">
        <f>7400+400</f>
        <v>7800</v>
      </c>
      <c r="D16" s="20">
        <f>+'RH MENSUAL 2023'!G18</f>
        <v>7508</v>
      </c>
      <c r="E16" s="70"/>
      <c r="F16" s="8">
        <f t="shared" si="0"/>
        <v>292</v>
      </c>
      <c r="G16" s="33"/>
      <c r="H16" s="7" t="s">
        <v>64</v>
      </c>
      <c r="I16" s="20">
        <v>3800</v>
      </c>
      <c r="J16" s="20">
        <f>+'RH MENSUAL 2023'!J18</f>
        <v>3768</v>
      </c>
      <c r="K16" s="70"/>
      <c r="L16" s="8">
        <f t="shared" si="1"/>
        <v>32</v>
      </c>
      <c r="M16" s="91">
        <f t="shared" si="5"/>
        <v>11276</v>
      </c>
      <c r="N16" s="2">
        <f t="shared" si="2"/>
        <v>11276</v>
      </c>
    </row>
    <row r="17" spans="1:14" ht="24.95" customHeight="1" x14ac:dyDescent="0.2">
      <c r="A17" s="6" t="s">
        <v>11</v>
      </c>
      <c r="B17" s="7" t="s">
        <v>65</v>
      </c>
      <c r="C17" s="20">
        <v>3600</v>
      </c>
      <c r="D17" s="20">
        <f>+'RH MENSUAL 2023'!G19</f>
        <v>3483</v>
      </c>
      <c r="E17" s="70"/>
      <c r="F17" s="8">
        <f t="shared" si="0"/>
        <v>117</v>
      </c>
      <c r="G17" s="33"/>
      <c r="H17" s="7" t="s">
        <v>66</v>
      </c>
      <c r="I17" s="20">
        <v>1000</v>
      </c>
      <c r="J17" s="20">
        <f>+'RH MENSUAL 2023'!J19</f>
        <v>800</v>
      </c>
      <c r="K17" s="70"/>
      <c r="L17" s="8">
        <f t="shared" si="1"/>
        <v>200</v>
      </c>
      <c r="M17" s="91">
        <f t="shared" si="5"/>
        <v>4283</v>
      </c>
      <c r="N17" s="2">
        <f t="shared" si="2"/>
        <v>4283</v>
      </c>
    </row>
    <row r="18" spans="1:14" ht="24.95" customHeight="1" x14ac:dyDescent="0.2">
      <c r="A18" s="6" t="s">
        <v>12</v>
      </c>
      <c r="B18" s="7" t="s">
        <v>67</v>
      </c>
      <c r="C18" s="20">
        <v>3400</v>
      </c>
      <c r="D18" s="20">
        <f>+'RH MENSUAL 2023'!G20</f>
        <v>3386</v>
      </c>
      <c r="E18" s="70"/>
      <c r="F18" s="8">
        <f t="shared" si="0"/>
        <v>14</v>
      </c>
      <c r="G18" s="33"/>
      <c r="H18" s="7" t="s">
        <v>68</v>
      </c>
      <c r="I18" s="20">
        <v>1400</v>
      </c>
      <c r="J18" s="20">
        <f>+'RH MENSUAL 2023'!J20</f>
        <v>1256</v>
      </c>
      <c r="K18" s="70"/>
      <c r="L18" s="8">
        <f t="shared" si="1"/>
        <v>144</v>
      </c>
      <c r="M18" s="91">
        <f t="shared" si="5"/>
        <v>4642</v>
      </c>
      <c r="N18" s="2">
        <f t="shared" si="2"/>
        <v>4642</v>
      </c>
    </row>
    <row r="19" spans="1:14" ht="24.95" customHeight="1" x14ac:dyDescent="0.2">
      <c r="A19" s="6" t="s">
        <v>13</v>
      </c>
      <c r="B19" s="7" t="s">
        <v>69</v>
      </c>
      <c r="C19" s="20">
        <v>4800</v>
      </c>
      <c r="D19" s="20">
        <f>+'RH MENSUAL 2023'!G21</f>
        <v>4791</v>
      </c>
      <c r="E19" s="70">
        <v>1</v>
      </c>
      <c r="F19" s="8">
        <f t="shared" si="0"/>
        <v>8</v>
      </c>
      <c r="G19" s="33"/>
      <c r="H19" s="7" t="s">
        <v>70</v>
      </c>
      <c r="I19" s="20">
        <v>2200</v>
      </c>
      <c r="J19" s="20">
        <f>+'RH MENSUAL 2023'!J21</f>
        <v>2042</v>
      </c>
      <c r="K19" s="70"/>
      <c r="L19" s="8">
        <f t="shared" si="1"/>
        <v>158</v>
      </c>
      <c r="M19" s="91">
        <f t="shared" si="5"/>
        <v>6833</v>
      </c>
      <c r="N19" s="2">
        <f t="shared" si="2"/>
        <v>6833</v>
      </c>
    </row>
    <row r="20" spans="1:14" ht="24.95" customHeight="1" x14ac:dyDescent="0.2">
      <c r="A20" s="6" t="s">
        <v>14</v>
      </c>
      <c r="B20" s="7" t="s">
        <v>71</v>
      </c>
      <c r="C20" s="20">
        <v>14400</v>
      </c>
      <c r="D20" s="20">
        <f>+'RH MENSUAL 2023'!G22</f>
        <v>14342</v>
      </c>
      <c r="E20" s="70">
        <v>20</v>
      </c>
      <c r="F20" s="8">
        <f t="shared" si="0"/>
        <v>38</v>
      </c>
      <c r="G20" s="33"/>
      <c r="H20" s="7" t="s">
        <v>72</v>
      </c>
      <c r="I20" s="20">
        <v>8800</v>
      </c>
      <c r="J20" s="20">
        <f>+'RH MENSUAL 2023'!J22</f>
        <v>8394</v>
      </c>
      <c r="K20" s="70">
        <v>16</v>
      </c>
      <c r="L20" s="8">
        <f t="shared" si="1"/>
        <v>390</v>
      </c>
      <c r="M20" s="91">
        <f t="shared" si="5"/>
        <v>22736</v>
      </c>
      <c r="N20" s="2">
        <f t="shared" si="2"/>
        <v>22736</v>
      </c>
    </row>
    <row r="21" spans="1:14" ht="24.95" customHeight="1" x14ac:dyDescent="0.2">
      <c r="A21" s="6" t="s">
        <v>15</v>
      </c>
      <c r="B21" s="7" t="s">
        <v>73</v>
      </c>
      <c r="C21" s="20">
        <v>18200</v>
      </c>
      <c r="D21" s="20">
        <f>+'RH MENSUAL 2023'!G23</f>
        <v>18180</v>
      </c>
      <c r="E21" s="70"/>
      <c r="F21" s="8">
        <f t="shared" si="0"/>
        <v>20</v>
      </c>
      <c r="G21" s="33"/>
      <c r="H21" s="7" t="s">
        <v>74</v>
      </c>
      <c r="I21" s="20">
        <v>8600</v>
      </c>
      <c r="J21" s="20">
        <f>+'RH MENSUAL 2023'!J23</f>
        <v>8518</v>
      </c>
      <c r="K21" s="70"/>
      <c r="L21" s="8">
        <f t="shared" si="1"/>
        <v>82</v>
      </c>
      <c r="M21" s="91">
        <f t="shared" si="5"/>
        <v>26698</v>
      </c>
      <c r="N21" s="2">
        <f t="shared" si="2"/>
        <v>26698</v>
      </c>
    </row>
    <row r="22" spans="1:14" ht="24.95" customHeight="1" x14ac:dyDescent="0.2">
      <c r="A22" s="6" t="s">
        <v>16</v>
      </c>
      <c r="B22" s="7" t="s">
        <v>77</v>
      </c>
      <c r="C22" s="20">
        <f>12600+400+400+400</f>
        <v>13800</v>
      </c>
      <c r="D22" s="20">
        <f>+'RH MENSUAL 2023'!G24</f>
        <v>13399</v>
      </c>
      <c r="E22" s="70"/>
      <c r="F22" s="8">
        <f t="shared" si="0"/>
        <v>401</v>
      </c>
      <c r="G22" s="33"/>
      <c r="H22" s="7" t="s">
        <v>78</v>
      </c>
      <c r="I22" s="20">
        <f>6200</f>
        <v>6200</v>
      </c>
      <c r="J22" s="20">
        <f>+'RH MENSUAL 2023'!J24</f>
        <v>6200</v>
      </c>
      <c r="K22" s="70"/>
      <c r="L22" s="8">
        <f t="shared" si="1"/>
        <v>0</v>
      </c>
      <c r="M22" s="91">
        <f t="shared" si="5"/>
        <v>19599</v>
      </c>
      <c r="N22" s="2">
        <f t="shared" si="2"/>
        <v>19599</v>
      </c>
    </row>
    <row r="23" spans="1:14" ht="24.95" customHeight="1" x14ac:dyDescent="0.2">
      <c r="A23" s="6" t="s">
        <v>17</v>
      </c>
      <c r="B23" s="7" t="s">
        <v>79</v>
      </c>
      <c r="C23" s="20">
        <v>25600</v>
      </c>
      <c r="D23" s="20">
        <f>+'RH MENSUAL 2023'!G25</f>
        <v>25585</v>
      </c>
      <c r="E23" s="70"/>
      <c r="F23" s="8">
        <f t="shared" si="0"/>
        <v>15</v>
      </c>
      <c r="G23" s="33"/>
      <c r="H23" s="7" t="s">
        <v>80</v>
      </c>
      <c r="I23" s="20">
        <v>7400</v>
      </c>
      <c r="J23" s="20">
        <f>+'RH MENSUAL 2023'!J25</f>
        <v>7203</v>
      </c>
      <c r="K23" s="70"/>
      <c r="L23" s="8">
        <f t="shared" si="1"/>
        <v>197</v>
      </c>
      <c r="M23" s="91">
        <f t="shared" si="5"/>
        <v>32788</v>
      </c>
      <c r="N23" s="2">
        <f t="shared" si="2"/>
        <v>32788</v>
      </c>
    </row>
    <row r="24" spans="1:14" ht="24.95" customHeight="1" x14ac:dyDescent="0.2">
      <c r="A24" s="6" t="s">
        <v>18</v>
      </c>
      <c r="B24" s="7" t="s">
        <v>81</v>
      </c>
      <c r="C24" s="20">
        <v>600</v>
      </c>
      <c r="D24" s="20">
        <f>+'RH MENSUAL 2023'!G26</f>
        <v>0</v>
      </c>
      <c r="E24" s="70"/>
      <c r="F24" s="8">
        <f t="shared" si="0"/>
        <v>600</v>
      </c>
      <c r="G24" s="33"/>
      <c r="H24" s="7" t="s">
        <v>82</v>
      </c>
      <c r="I24" s="20">
        <v>200</v>
      </c>
      <c r="J24" s="20">
        <f>+'RH MENSUAL 2023'!J26</f>
        <v>200</v>
      </c>
      <c r="K24" s="70"/>
      <c r="L24" s="8">
        <f t="shared" si="1"/>
        <v>0</v>
      </c>
      <c r="M24" s="91">
        <f t="shared" si="5"/>
        <v>200</v>
      </c>
      <c r="N24" s="2">
        <f t="shared" si="2"/>
        <v>200</v>
      </c>
    </row>
    <row r="25" spans="1:14" ht="24.95" customHeight="1" x14ac:dyDescent="0.2">
      <c r="A25" s="6" t="s">
        <v>19</v>
      </c>
      <c r="B25" s="7" t="s">
        <v>83</v>
      </c>
      <c r="C25" s="20">
        <v>5200</v>
      </c>
      <c r="D25" s="20">
        <f>+'RH MENSUAL 2023'!G27</f>
        <v>5120</v>
      </c>
      <c r="E25" s="70"/>
      <c r="F25" s="8">
        <f t="shared" si="0"/>
        <v>80</v>
      </c>
      <c r="G25" s="33"/>
      <c r="H25" s="7" t="s">
        <v>84</v>
      </c>
      <c r="I25" s="20">
        <v>200</v>
      </c>
      <c r="J25" s="20">
        <f>+'RH MENSUAL 2023'!J27</f>
        <v>200</v>
      </c>
      <c r="K25" s="70"/>
      <c r="L25" s="8">
        <f t="shared" si="1"/>
        <v>0</v>
      </c>
      <c r="M25" s="91">
        <f t="shared" si="5"/>
        <v>5320</v>
      </c>
      <c r="N25" s="2">
        <f t="shared" si="2"/>
        <v>5320</v>
      </c>
    </row>
    <row r="26" spans="1:14" ht="24.95" customHeight="1" x14ac:dyDescent="0.2">
      <c r="A26" s="6" t="s">
        <v>20</v>
      </c>
      <c r="B26" s="7" t="s">
        <v>85</v>
      </c>
      <c r="C26" s="20">
        <v>2200</v>
      </c>
      <c r="D26" s="20">
        <f>+'RH MENSUAL 2023'!G28</f>
        <v>2200</v>
      </c>
      <c r="E26" s="70"/>
      <c r="F26" s="8">
        <f t="shared" si="0"/>
        <v>0</v>
      </c>
      <c r="G26" s="33"/>
      <c r="H26" s="7" t="s">
        <v>86</v>
      </c>
      <c r="I26" s="20">
        <v>1000</v>
      </c>
      <c r="J26" s="20">
        <f>+'RH MENSUAL 2023'!J28</f>
        <v>1000</v>
      </c>
      <c r="K26" s="70"/>
      <c r="L26" s="8">
        <f t="shared" si="1"/>
        <v>0</v>
      </c>
      <c r="M26" s="91">
        <f t="shared" si="5"/>
        <v>3200</v>
      </c>
      <c r="N26" s="2">
        <f t="shared" si="2"/>
        <v>3200</v>
      </c>
    </row>
    <row r="27" spans="1:14" ht="24.95" customHeight="1" x14ac:dyDescent="0.2">
      <c r="A27" s="166" t="s">
        <v>21</v>
      </c>
      <c r="B27" s="7" t="s">
        <v>87</v>
      </c>
      <c r="C27" s="20">
        <v>36600</v>
      </c>
      <c r="D27" s="20">
        <f>+'RH MENSUAL 2023'!G29</f>
        <v>36535</v>
      </c>
      <c r="E27" s="70">
        <v>29</v>
      </c>
      <c r="F27" s="8">
        <f t="shared" si="0"/>
        <v>36</v>
      </c>
      <c r="G27" s="33"/>
      <c r="H27" s="7" t="s">
        <v>88</v>
      </c>
      <c r="I27" s="20">
        <v>19400</v>
      </c>
      <c r="J27" s="20">
        <f>+'RH MENSUAL 2023'!J29</f>
        <v>18379</v>
      </c>
      <c r="K27" s="70">
        <v>3</v>
      </c>
      <c r="L27" s="8">
        <f t="shared" si="1"/>
        <v>1018</v>
      </c>
      <c r="M27" s="188">
        <f>D29+D30+D27+J27+D28+J29+J30</f>
        <v>64305</v>
      </c>
      <c r="N27" s="2">
        <f t="shared" si="2"/>
        <v>54914</v>
      </c>
    </row>
    <row r="28" spans="1:14" ht="24.95" customHeight="1" x14ac:dyDescent="0.2">
      <c r="A28" s="166"/>
      <c r="B28" s="7" t="s">
        <v>53</v>
      </c>
      <c r="C28" s="20">
        <v>800</v>
      </c>
      <c r="D28" s="20">
        <f>+'RH MENSUAL 2023'!G30</f>
        <v>800</v>
      </c>
      <c r="E28" s="70"/>
      <c r="F28" s="8">
        <f t="shared" si="0"/>
        <v>0</v>
      </c>
      <c r="G28" s="33"/>
      <c r="H28" s="7" t="s">
        <v>54</v>
      </c>
      <c r="I28" s="20">
        <v>200</v>
      </c>
      <c r="J28" s="20">
        <f>+'RH MENSUAL 2023'!J30</f>
        <v>0</v>
      </c>
      <c r="K28" s="70"/>
      <c r="L28" s="8">
        <f t="shared" si="1"/>
        <v>200</v>
      </c>
      <c r="M28" s="188"/>
      <c r="N28" s="2">
        <f t="shared" si="2"/>
        <v>800</v>
      </c>
    </row>
    <row r="29" spans="1:14" ht="24.95" customHeight="1" x14ac:dyDescent="0.2">
      <c r="A29" s="166"/>
      <c r="B29" s="7" t="s">
        <v>99</v>
      </c>
      <c r="C29" s="20">
        <v>6200</v>
      </c>
      <c r="D29" s="20">
        <f>+'RH MENSUAL 2023'!G31</f>
        <v>6200</v>
      </c>
      <c r="E29" s="70"/>
      <c r="F29" s="8">
        <f t="shared" si="0"/>
        <v>0</v>
      </c>
      <c r="G29" s="33"/>
      <c r="H29" s="7" t="s">
        <v>100</v>
      </c>
      <c r="I29" s="20">
        <v>2000</v>
      </c>
      <c r="J29" s="20">
        <f>+'RH MENSUAL 2023'!J31</f>
        <v>1999</v>
      </c>
      <c r="K29" s="70"/>
      <c r="L29" s="8">
        <f t="shared" si="1"/>
        <v>1</v>
      </c>
      <c r="M29" s="188"/>
      <c r="N29" s="2">
        <f t="shared" si="2"/>
        <v>8199</v>
      </c>
    </row>
    <row r="30" spans="1:14" ht="24.95" customHeight="1" x14ac:dyDescent="0.2">
      <c r="A30" s="166"/>
      <c r="B30" s="7" t="s">
        <v>89</v>
      </c>
      <c r="C30" s="20">
        <v>200</v>
      </c>
      <c r="D30" s="20">
        <f>+'RH MENSUAL 2023'!G32</f>
        <v>200</v>
      </c>
      <c r="E30" s="70"/>
      <c r="F30" s="8">
        <f t="shared" si="0"/>
        <v>0</v>
      </c>
      <c r="G30" s="33"/>
      <c r="H30" s="7" t="s">
        <v>90</v>
      </c>
      <c r="I30" s="20">
        <v>200</v>
      </c>
      <c r="J30" s="20">
        <f>+'RH MENSUAL 2023'!J32</f>
        <v>192</v>
      </c>
      <c r="K30" s="70"/>
      <c r="L30" s="8">
        <f t="shared" si="1"/>
        <v>8</v>
      </c>
      <c r="M30" s="188"/>
      <c r="N30" s="2">
        <f t="shared" si="2"/>
        <v>392</v>
      </c>
    </row>
    <row r="31" spans="1:14" ht="24.95" customHeight="1" x14ac:dyDescent="0.2">
      <c r="A31" s="6" t="s">
        <v>22</v>
      </c>
      <c r="B31" s="7" t="s">
        <v>145</v>
      </c>
      <c r="C31" s="20">
        <v>600</v>
      </c>
      <c r="D31" s="20">
        <f>+'RH MENSUAL 2023'!G33</f>
        <v>144</v>
      </c>
      <c r="E31" s="70"/>
      <c r="F31" s="8">
        <f t="shared" si="0"/>
        <v>456</v>
      </c>
      <c r="G31" s="33"/>
      <c r="H31" s="7" t="s">
        <v>96</v>
      </c>
      <c r="I31" s="20">
        <v>2800</v>
      </c>
      <c r="J31" s="20">
        <f>+'RH MENSUAL 2023'!J33</f>
        <v>2791</v>
      </c>
      <c r="K31" s="70">
        <v>4</v>
      </c>
      <c r="L31" s="8">
        <f t="shared" si="1"/>
        <v>5</v>
      </c>
      <c r="M31" s="91">
        <f t="shared" ref="M31" si="6">+D31+J31</f>
        <v>2935</v>
      </c>
      <c r="N31" s="2">
        <f t="shared" si="2"/>
        <v>2935</v>
      </c>
    </row>
    <row r="32" spans="1:14" ht="24.95" customHeight="1" x14ac:dyDescent="0.2">
      <c r="A32" s="166" t="s">
        <v>23</v>
      </c>
      <c r="B32" s="7" t="s">
        <v>92</v>
      </c>
      <c r="C32" s="20">
        <f>4200+200+200</f>
        <v>4600</v>
      </c>
      <c r="D32" s="20">
        <f>+'RH MENSUAL 2023'!G34</f>
        <v>4555</v>
      </c>
      <c r="E32" s="70"/>
      <c r="F32" s="8">
        <f t="shared" si="0"/>
        <v>45</v>
      </c>
      <c r="G32" s="33"/>
      <c r="H32" s="7" t="s">
        <v>93</v>
      </c>
      <c r="I32" s="20">
        <f>3800+200</f>
        <v>4000</v>
      </c>
      <c r="J32" s="20">
        <f>+'RH MENSUAL 2023'!J34</f>
        <v>3982</v>
      </c>
      <c r="K32" s="70"/>
      <c r="L32" s="8">
        <f t="shared" si="1"/>
        <v>18</v>
      </c>
      <c r="M32" s="188">
        <f>+J32+J33+D32+D33</f>
        <v>9937</v>
      </c>
      <c r="N32" s="2">
        <f t="shared" si="2"/>
        <v>8537</v>
      </c>
    </row>
    <row r="33" spans="1:14" ht="24.95" customHeight="1" x14ac:dyDescent="0.2">
      <c r="A33" s="166"/>
      <c r="B33" s="7" t="s">
        <v>94</v>
      </c>
      <c r="C33" s="20">
        <v>1200</v>
      </c>
      <c r="D33" s="20">
        <f>+'RH MENSUAL 2023'!G35</f>
        <v>1200</v>
      </c>
      <c r="E33" s="70"/>
      <c r="F33" s="8">
        <f t="shared" si="0"/>
        <v>0</v>
      </c>
      <c r="G33" s="33"/>
      <c r="H33" s="7" t="s">
        <v>95</v>
      </c>
      <c r="I33" s="20">
        <v>200</v>
      </c>
      <c r="J33" s="20">
        <f>+'RH MENSUAL 2023'!J35</f>
        <v>200</v>
      </c>
      <c r="K33" s="70"/>
      <c r="L33" s="8">
        <f t="shared" si="1"/>
        <v>0</v>
      </c>
      <c r="M33" s="188"/>
      <c r="N33" s="2">
        <f t="shared" si="2"/>
        <v>1400</v>
      </c>
    </row>
    <row r="34" spans="1:14" ht="24.95" customHeight="1" x14ac:dyDescent="0.2">
      <c r="A34" s="6" t="s">
        <v>32</v>
      </c>
      <c r="B34" s="7" t="s">
        <v>32</v>
      </c>
      <c r="C34" s="20">
        <v>6800</v>
      </c>
      <c r="D34" s="20">
        <f>+'RH MENSUAL 2023'!G36</f>
        <v>5526</v>
      </c>
      <c r="E34" s="70"/>
      <c r="F34" s="8">
        <f t="shared" si="0"/>
        <v>1274</v>
      </c>
      <c r="G34" s="33"/>
      <c r="H34" s="7" t="s">
        <v>91</v>
      </c>
      <c r="I34" s="20">
        <v>2400</v>
      </c>
      <c r="J34" s="20">
        <f>+'RH MENSUAL 2023'!J36</f>
        <v>2391</v>
      </c>
      <c r="K34" s="70">
        <v>1</v>
      </c>
      <c r="L34" s="8">
        <f t="shared" si="1"/>
        <v>8</v>
      </c>
      <c r="M34" s="91">
        <f t="shared" ref="M34:M43" si="7">+D34+J34</f>
        <v>7917</v>
      </c>
      <c r="N34" s="2">
        <f t="shared" si="2"/>
        <v>7917</v>
      </c>
    </row>
    <row r="35" spans="1:14" ht="24.95" customHeight="1" x14ac:dyDescent="0.2">
      <c r="A35" s="6" t="s">
        <v>24</v>
      </c>
      <c r="B35" s="7" t="s">
        <v>97</v>
      </c>
      <c r="C35" s="20">
        <v>5360</v>
      </c>
      <c r="D35" s="20">
        <f>+'RH MENSUAL 2023'!G37</f>
        <v>5359</v>
      </c>
      <c r="E35" s="70"/>
      <c r="F35" s="8">
        <f t="shared" si="0"/>
        <v>1</v>
      </c>
      <c r="G35" s="33"/>
      <c r="H35" s="7" t="s">
        <v>98</v>
      </c>
      <c r="I35" s="20">
        <v>1600</v>
      </c>
      <c r="J35" s="20">
        <f>+'RH MENSUAL 2023'!J37</f>
        <v>1597</v>
      </c>
      <c r="K35" s="70">
        <v>3</v>
      </c>
      <c r="L35" s="8">
        <f t="shared" si="1"/>
        <v>0</v>
      </c>
      <c r="M35" s="91">
        <f t="shared" si="7"/>
        <v>6956</v>
      </c>
      <c r="N35" s="2">
        <f t="shared" si="2"/>
        <v>6956</v>
      </c>
    </row>
    <row r="36" spans="1:14" ht="24.95" customHeight="1" x14ac:dyDescent="0.2">
      <c r="A36" s="6" t="s">
        <v>38</v>
      </c>
      <c r="B36" s="7" t="s">
        <v>107</v>
      </c>
      <c r="C36" s="20">
        <v>64600</v>
      </c>
      <c r="D36" s="20">
        <f>+'RH MENSUAL 2023'!G38</f>
        <v>64522</v>
      </c>
      <c r="E36" s="70">
        <v>38</v>
      </c>
      <c r="F36" s="8">
        <f t="shared" si="0"/>
        <v>40</v>
      </c>
      <c r="G36" s="33"/>
      <c r="H36" s="7" t="s">
        <v>108</v>
      </c>
      <c r="I36" s="20">
        <v>15600</v>
      </c>
      <c r="J36" s="20">
        <f>+'RH MENSUAL 2023'!J38</f>
        <v>15401</v>
      </c>
      <c r="K36" s="70">
        <v>16</v>
      </c>
      <c r="L36" s="8">
        <f t="shared" si="1"/>
        <v>183</v>
      </c>
      <c r="M36" s="91">
        <f t="shared" si="7"/>
        <v>79923</v>
      </c>
      <c r="N36" s="2">
        <f t="shared" si="2"/>
        <v>79923</v>
      </c>
    </row>
    <row r="37" spans="1:14" ht="24.95" customHeight="1" x14ac:dyDescent="0.2">
      <c r="A37" s="6" t="s">
        <v>25</v>
      </c>
      <c r="B37" s="7" t="s">
        <v>101</v>
      </c>
      <c r="C37" s="20">
        <v>2200</v>
      </c>
      <c r="D37" s="20">
        <f>+'RH MENSUAL 2023'!G39</f>
        <v>2191</v>
      </c>
      <c r="E37" s="70">
        <v>7</v>
      </c>
      <c r="F37" s="8">
        <f t="shared" si="0"/>
        <v>2</v>
      </c>
      <c r="G37" s="33"/>
      <c r="H37" s="7" t="s">
        <v>102</v>
      </c>
      <c r="I37" s="20">
        <v>800</v>
      </c>
      <c r="J37" s="20">
        <f>+'RH MENSUAL 2023'!J39</f>
        <v>380</v>
      </c>
      <c r="K37" s="70"/>
      <c r="L37" s="8">
        <f t="shared" si="1"/>
        <v>420</v>
      </c>
      <c r="M37" s="91">
        <f t="shared" si="7"/>
        <v>2571</v>
      </c>
      <c r="N37" s="2">
        <f t="shared" si="2"/>
        <v>2571</v>
      </c>
    </row>
    <row r="38" spans="1:14" ht="24.95" customHeight="1" x14ac:dyDescent="0.2">
      <c r="A38" s="6" t="s">
        <v>26</v>
      </c>
      <c r="B38" s="7" t="s">
        <v>103</v>
      </c>
      <c r="C38" s="20">
        <v>13800</v>
      </c>
      <c r="D38" s="20">
        <f>+'RH MENSUAL 2023'!G40</f>
        <v>13796</v>
      </c>
      <c r="E38" s="70">
        <v>1</v>
      </c>
      <c r="F38" s="8">
        <f t="shared" si="0"/>
        <v>3</v>
      </c>
      <c r="G38" s="33"/>
      <c r="H38" s="7" t="s">
        <v>104</v>
      </c>
      <c r="I38" s="20">
        <v>4000</v>
      </c>
      <c r="J38" s="20">
        <f>+'RH MENSUAL 2023'!J40</f>
        <v>3319</v>
      </c>
      <c r="K38" s="70"/>
      <c r="L38" s="8">
        <f t="shared" si="1"/>
        <v>681</v>
      </c>
      <c r="M38" s="91">
        <f t="shared" si="7"/>
        <v>17115</v>
      </c>
      <c r="N38" s="2">
        <f t="shared" si="2"/>
        <v>17115</v>
      </c>
    </row>
    <row r="39" spans="1:14" ht="24.95" customHeight="1" x14ac:dyDescent="0.2">
      <c r="A39" s="6" t="s">
        <v>27</v>
      </c>
      <c r="B39" s="7" t="s">
        <v>105</v>
      </c>
      <c r="C39" s="20">
        <v>2200</v>
      </c>
      <c r="D39" s="20">
        <f>+'RH MENSUAL 2023'!G41</f>
        <v>1592</v>
      </c>
      <c r="E39" s="70"/>
      <c r="F39" s="8">
        <f t="shared" si="0"/>
        <v>608</v>
      </c>
      <c r="G39" s="33"/>
      <c r="H39" s="7" t="s">
        <v>106</v>
      </c>
      <c r="I39" s="20">
        <v>200</v>
      </c>
      <c r="J39" s="20">
        <f>+'RH MENSUAL 2023'!J41</f>
        <v>0</v>
      </c>
      <c r="K39" s="70"/>
      <c r="L39" s="8">
        <f t="shared" si="1"/>
        <v>200</v>
      </c>
      <c r="M39" s="91">
        <f t="shared" si="7"/>
        <v>1592</v>
      </c>
      <c r="N39" s="2">
        <f t="shared" si="2"/>
        <v>1592</v>
      </c>
    </row>
    <row r="40" spans="1:14" ht="24.95" customHeight="1" x14ac:dyDescent="0.2">
      <c r="A40" s="6" t="s">
        <v>28</v>
      </c>
      <c r="B40" s="7" t="s">
        <v>109</v>
      </c>
      <c r="C40" s="20">
        <v>16400</v>
      </c>
      <c r="D40" s="20">
        <f>+'RH MENSUAL 2023'!G42</f>
        <v>15848</v>
      </c>
      <c r="E40" s="70">
        <v>3</v>
      </c>
      <c r="F40" s="8">
        <f t="shared" si="0"/>
        <v>549</v>
      </c>
      <c r="G40" s="33"/>
      <c r="H40" s="7" t="s">
        <v>110</v>
      </c>
      <c r="I40" s="20">
        <v>3400</v>
      </c>
      <c r="J40" s="20">
        <f>+'RH MENSUAL 2023'!J42</f>
        <v>2797</v>
      </c>
      <c r="K40" s="70"/>
      <c r="L40" s="8">
        <f t="shared" si="1"/>
        <v>603</v>
      </c>
      <c r="M40" s="91">
        <f t="shared" si="7"/>
        <v>18645</v>
      </c>
      <c r="N40" s="2">
        <f t="shared" si="2"/>
        <v>18645</v>
      </c>
    </row>
    <row r="41" spans="1:14" ht="24.95" customHeight="1" x14ac:dyDescent="0.2">
      <c r="A41" s="6" t="s">
        <v>29</v>
      </c>
      <c r="B41" s="7" t="s">
        <v>111</v>
      </c>
      <c r="C41" s="20">
        <f>34200+600+2000+2000</f>
        <v>38800</v>
      </c>
      <c r="D41" s="20">
        <f>+'RH MENSUAL 2023'!G43</f>
        <v>36790</v>
      </c>
      <c r="E41" s="70">
        <v>5</v>
      </c>
      <c r="F41" s="8">
        <f t="shared" si="0"/>
        <v>2005</v>
      </c>
      <c r="G41" s="33"/>
      <c r="H41" s="7" t="s">
        <v>112</v>
      </c>
      <c r="I41" s="20">
        <f>11600+400</f>
        <v>12000</v>
      </c>
      <c r="J41" s="20">
        <f>+'RH MENSUAL 2023'!J43</f>
        <v>12000</v>
      </c>
      <c r="K41" s="70"/>
      <c r="L41" s="8">
        <f t="shared" si="1"/>
        <v>0</v>
      </c>
      <c r="M41" s="91">
        <f t="shared" si="7"/>
        <v>48790</v>
      </c>
      <c r="N41" s="2">
        <f t="shared" si="2"/>
        <v>48790</v>
      </c>
    </row>
    <row r="42" spans="1:14" ht="24.95" customHeight="1" x14ac:dyDescent="0.2">
      <c r="A42" s="6" t="s">
        <v>31</v>
      </c>
      <c r="B42" s="7" t="s">
        <v>115</v>
      </c>
      <c r="C42" s="20">
        <v>304800</v>
      </c>
      <c r="D42" s="20">
        <f>+'RH MENSUAL 2023'!G44</f>
        <v>304640</v>
      </c>
      <c r="E42" s="70">
        <v>42</v>
      </c>
      <c r="F42" s="8">
        <f t="shared" si="0"/>
        <v>118</v>
      </c>
      <c r="G42" s="33"/>
      <c r="H42" s="7" t="s">
        <v>116</v>
      </c>
      <c r="I42" s="20">
        <v>76800</v>
      </c>
      <c r="J42" s="20">
        <f>+'RH MENSUAL 2023'!J44</f>
        <v>74770</v>
      </c>
      <c r="K42" s="70"/>
      <c r="L42" s="8">
        <f t="shared" si="1"/>
        <v>2030</v>
      </c>
      <c r="M42" s="91">
        <f t="shared" si="7"/>
        <v>379410</v>
      </c>
      <c r="N42" s="2">
        <f t="shared" si="2"/>
        <v>379410</v>
      </c>
    </row>
    <row r="43" spans="1:14" ht="24.95" customHeight="1" x14ac:dyDescent="0.2">
      <c r="A43" s="6" t="s">
        <v>127</v>
      </c>
      <c r="B43" s="7" t="s">
        <v>138</v>
      </c>
      <c r="C43" s="20">
        <f>+'RH MENSUAL 2023'!G52</f>
        <v>154836</v>
      </c>
      <c r="D43" s="20">
        <f>+F48</f>
        <v>154836</v>
      </c>
      <c r="E43" s="70"/>
      <c r="F43" s="8">
        <f t="shared" si="0"/>
        <v>0</v>
      </c>
      <c r="G43" s="33"/>
      <c r="H43" s="7" t="s">
        <v>114</v>
      </c>
      <c r="I43" s="20">
        <v>48800</v>
      </c>
      <c r="J43" s="20">
        <v>48680</v>
      </c>
      <c r="K43" s="70"/>
      <c r="L43" s="8">
        <f t="shared" si="1"/>
        <v>120</v>
      </c>
      <c r="M43" s="91">
        <f t="shared" si="7"/>
        <v>203516</v>
      </c>
      <c r="N43" s="2">
        <f t="shared" si="2"/>
        <v>203516</v>
      </c>
    </row>
    <row r="44" spans="1:14" ht="39.950000000000003" customHeight="1" x14ac:dyDescent="0.2">
      <c r="A44" s="21" t="s">
        <v>33</v>
      </c>
      <c r="B44" s="21" t="s">
        <v>42</v>
      </c>
      <c r="C44" s="9">
        <f>SUM(C6:C43)</f>
        <v>1065596</v>
      </c>
      <c r="D44" s="9">
        <f t="shared" ref="D44:F44" si="8">SUM(D6:D43)</f>
        <v>1019922</v>
      </c>
      <c r="E44" s="9">
        <f t="shared" si="8"/>
        <v>191</v>
      </c>
      <c r="F44" s="9">
        <f t="shared" si="8"/>
        <v>45483</v>
      </c>
      <c r="G44" s="74"/>
      <c r="H44" s="75" t="s">
        <v>117</v>
      </c>
      <c r="I44" s="76">
        <f>SUM(I6:I43)</f>
        <v>360400</v>
      </c>
      <c r="J44" s="76">
        <f t="shared" ref="J44:L44" si="9">SUM(J6:J43)</f>
        <v>351849</v>
      </c>
      <c r="K44" s="76">
        <f t="shared" si="9"/>
        <v>44</v>
      </c>
      <c r="L44" s="76">
        <f t="shared" si="9"/>
        <v>8507</v>
      </c>
      <c r="M44" s="91">
        <f>SUM(M6:M43)</f>
        <v>1371771</v>
      </c>
      <c r="N44" s="2">
        <f t="shared" si="2"/>
        <v>1371771</v>
      </c>
    </row>
    <row r="45" spans="1:14" ht="20.100000000000001" customHeight="1" x14ac:dyDescent="0.25">
      <c r="A45" s="10"/>
      <c r="B45" s="10"/>
      <c r="C45" s="84"/>
      <c r="D45" s="84"/>
      <c r="E45" s="84"/>
      <c r="F45" s="84"/>
      <c r="G45" s="10"/>
      <c r="H45" s="10"/>
      <c r="I45" s="84"/>
      <c r="J45" s="84"/>
      <c r="K45" s="84"/>
      <c r="L45" s="84"/>
      <c r="M45" s="153">
        <f>M44-'RH MENSUAL 2023'!M46</f>
        <v>0</v>
      </c>
    </row>
    <row r="46" spans="1:14" ht="20.100000000000001" customHeight="1" x14ac:dyDescent="0.25">
      <c r="A46" s="46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4"/>
      <c r="M46" s="148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3"/>
    </row>
    <row r="48" spans="1:14" ht="24.95" customHeight="1" x14ac:dyDescent="0.2">
      <c r="A48" s="85" t="s">
        <v>30</v>
      </c>
      <c r="B48" s="86" t="s">
        <v>113</v>
      </c>
      <c r="C48" s="86">
        <f>+'RH MENSUAL 2023'!G49</f>
        <v>201411</v>
      </c>
      <c r="D48" s="86">
        <f>+'RH MENSUAL 2023'!G50+'RH MENSUAL 2023'!G51</f>
        <v>46575</v>
      </c>
      <c r="E48" s="86"/>
      <c r="F48" s="86">
        <f>+C48-D48</f>
        <v>154836</v>
      </c>
      <c r="G48" s="77"/>
      <c r="H48" s="86" t="s">
        <v>114</v>
      </c>
      <c r="I48" s="86">
        <v>48680</v>
      </c>
      <c r="J48" s="86"/>
      <c r="K48" s="86"/>
      <c r="L48" s="86">
        <f>+I48-J48</f>
        <v>48680</v>
      </c>
      <c r="M48" s="82"/>
    </row>
    <row r="49" spans="1:13" ht="24.95" customHeight="1" x14ac:dyDescent="0.2">
      <c r="A49" s="87" t="s">
        <v>39</v>
      </c>
      <c r="B49" s="88" t="s">
        <v>120</v>
      </c>
      <c r="C49" s="88"/>
      <c r="D49" s="88">
        <f>+'RH MENSUAL 2023'!G50</f>
        <v>20975</v>
      </c>
      <c r="E49" s="88"/>
      <c r="F49" s="88"/>
      <c r="G49" s="77"/>
      <c r="H49" s="88" t="s">
        <v>44</v>
      </c>
      <c r="I49" s="88"/>
      <c r="J49" s="88"/>
      <c r="K49" s="88"/>
      <c r="L49" s="88"/>
      <c r="M49" s="82"/>
    </row>
    <row r="50" spans="1:13" ht="24.95" customHeight="1" x14ac:dyDescent="0.2">
      <c r="A50" s="89" t="s">
        <v>40</v>
      </c>
      <c r="B50" s="90" t="s">
        <v>121</v>
      </c>
      <c r="C50" s="90"/>
      <c r="D50" s="90">
        <f>+'RH MENSUAL 2023'!G51</f>
        <v>25600</v>
      </c>
      <c r="E50" s="90"/>
      <c r="F50" s="90"/>
      <c r="G50" s="77"/>
      <c r="H50" s="90" t="s">
        <v>48</v>
      </c>
      <c r="I50" s="90"/>
      <c r="J50" s="90"/>
      <c r="K50" s="90"/>
      <c r="L50" s="90"/>
      <c r="M50" s="82"/>
    </row>
    <row r="51" spans="1:13" ht="24.95" customHeight="1" x14ac:dyDescent="0.2">
      <c r="A51" s="10"/>
      <c r="B51" s="32"/>
      <c r="C51" s="32"/>
      <c r="D51" s="32"/>
      <c r="E51" s="32"/>
      <c r="F51" s="32"/>
      <c r="G51" s="32">
        <f t="shared" ref="G51" si="10">SUM(G48:G50)</f>
        <v>0</v>
      </c>
      <c r="H51" s="32"/>
      <c r="I51" s="32"/>
      <c r="J51" s="32"/>
      <c r="K51" s="32"/>
      <c r="L51" s="32"/>
      <c r="M51" s="82"/>
    </row>
    <row r="52" spans="1:13" ht="35.450000000000003" customHeight="1" x14ac:dyDescent="0.2">
      <c r="A52" s="186" t="s">
        <v>41</v>
      </c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54"/>
    </row>
    <row r="53" spans="1:13" ht="20.100000000000001" customHeight="1" x14ac:dyDescent="0.2">
      <c r="D53" s="2"/>
    </row>
    <row r="54" spans="1:13" x14ac:dyDescent="0.2">
      <c r="C54" s="2"/>
      <c r="D54" s="2"/>
    </row>
    <row r="55" spans="1:13" x14ac:dyDescent="0.2">
      <c r="C55" s="2"/>
    </row>
  </sheetData>
  <mergeCells count="10">
    <mergeCell ref="A32:A33"/>
    <mergeCell ref="M32:M33"/>
    <mergeCell ref="A52:L52"/>
    <mergeCell ref="A2:M2"/>
    <mergeCell ref="B4:F4"/>
    <mergeCell ref="H4:L4"/>
    <mergeCell ref="A7:A10"/>
    <mergeCell ref="M7:M10"/>
    <mergeCell ref="A27:A30"/>
    <mergeCell ref="M27:M30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P53"/>
  <sheetViews>
    <sheetView workbookViewId="0">
      <selection activeCell="M53" sqref="M53:N53"/>
    </sheetView>
  </sheetViews>
  <sheetFormatPr baseColWidth="10" defaultColWidth="9" defaultRowHeight="12.75" x14ac:dyDescent="0.2"/>
  <cols>
    <col min="1" max="1" width="34.42578125" style="1" customWidth="1"/>
    <col min="2" max="2" width="27.140625" style="1" hidden="1" customWidth="1"/>
    <col min="3" max="3" width="26.85546875" style="1" hidden="1" customWidth="1"/>
    <col min="4" max="4" width="12.5703125" style="3" hidden="1" customWidth="1"/>
    <col min="5" max="5" width="2" style="1" customWidth="1"/>
    <col min="6" max="6" width="20.42578125" style="1" bestFit="1" customWidth="1"/>
    <col min="7" max="7" width="12.7109375" style="1" customWidth="1"/>
    <col min="8" max="8" width="23.85546875" style="1" bestFit="1" customWidth="1"/>
    <col min="9" max="9" width="12.7109375" style="1" customWidth="1"/>
    <col min="10" max="10" width="19.42578125" style="3" customWidth="1"/>
    <col min="11" max="11" width="1.7109375" style="1" customWidth="1"/>
    <col min="12" max="14" width="12.7109375" style="92" customWidth="1"/>
    <col min="15" max="16384" width="9" style="1"/>
  </cols>
  <sheetData>
    <row r="1" spans="1:16" ht="25.15" customHeight="1" x14ac:dyDescent="0.2"/>
    <row r="2" spans="1:16" ht="39.950000000000003" customHeight="1" x14ac:dyDescent="0.2">
      <c r="A2" s="161" t="s">
        <v>139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6" ht="30.2" customHeight="1" x14ac:dyDescent="0.25">
      <c r="A3" s="10"/>
      <c r="B3" s="11" t="s">
        <v>34</v>
      </c>
      <c r="C3" s="11" t="s">
        <v>36</v>
      </c>
      <c r="D3" s="167" t="s">
        <v>126</v>
      </c>
      <c r="E3" s="10"/>
      <c r="F3" s="10"/>
      <c r="G3" s="10"/>
      <c r="H3" s="10"/>
      <c r="I3" s="10"/>
      <c r="J3" s="10"/>
    </row>
    <row r="4" spans="1:16" ht="30.2" customHeight="1" thickBot="1" x14ac:dyDescent="0.3">
      <c r="A4" s="10"/>
      <c r="B4" s="11"/>
      <c r="C4" s="11"/>
      <c r="D4" s="193"/>
      <c r="E4" s="10"/>
      <c r="F4" s="10"/>
      <c r="G4" s="10"/>
      <c r="H4" s="10"/>
      <c r="I4" s="10"/>
      <c r="J4" s="10"/>
      <c r="L4" s="196" t="s">
        <v>140</v>
      </c>
      <c r="M4" s="196"/>
      <c r="N4" s="196"/>
    </row>
    <row r="5" spans="1:16" ht="30.75" customHeight="1" x14ac:dyDescent="0.2">
      <c r="A5" s="36" t="s">
        <v>0</v>
      </c>
      <c r="B5" s="37" t="s">
        <v>1</v>
      </c>
      <c r="C5" s="38" t="s">
        <v>1</v>
      </c>
      <c r="D5" s="193"/>
      <c r="E5" s="10"/>
      <c r="F5" s="12" t="s">
        <v>42</v>
      </c>
      <c r="G5" s="45"/>
      <c r="H5" s="12" t="s">
        <v>117</v>
      </c>
      <c r="I5" s="45"/>
      <c r="J5" s="62" t="s">
        <v>119</v>
      </c>
      <c r="L5" s="95" t="s">
        <v>142</v>
      </c>
      <c r="M5" s="95" t="s">
        <v>141</v>
      </c>
      <c r="N5" s="95" t="s">
        <v>37</v>
      </c>
    </row>
    <row r="6" spans="1:16" ht="24.95" customHeight="1" x14ac:dyDescent="0.2">
      <c r="A6" s="6" t="s">
        <v>2</v>
      </c>
      <c r="B6" s="7">
        <v>98128</v>
      </c>
      <c r="C6" s="8">
        <f>28081</f>
        <v>28081</v>
      </c>
      <c r="D6" s="39">
        <f>B6+C6</f>
        <v>126209</v>
      </c>
      <c r="E6" s="40"/>
      <c r="F6" s="17" t="s">
        <v>43</v>
      </c>
      <c r="G6" s="33">
        <f>+'RH MENSUAL 2023'!G8+'RH MENSUAL 2023'!G45/2</f>
        <v>172163</v>
      </c>
      <c r="H6" s="19" t="s">
        <v>44</v>
      </c>
      <c r="I6" s="18">
        <f>+'RH MENSUAL 2023'!J8+'RH MENSUAL 2023'!J45/2</f>
        <v>66481</v>
      </c>
      <c r="J6" s="60">
        <f>+G6+I6</f>
        <v>238644</v>
      </c>
      <c r="L6" s="93">
        <f>+I6/J6</f>
        <v>0.27857813311878782</v>
      </c>
      <c r="M6" s="93">
        <f>+I6/$I$44</f>
        <v>0.18894753146946561</v>
      </c>
      <c r="N6" s="93">
        <f>+I6/$J$44</f>
        <v>4.8463628404449434E-2</v>
      </c>
      <c r="O6" s="2"/>
    </row>
    <row r="7" spans="1:16" ht="24.95" customHeight="1" x14ac:dyDescent="0.2">
      <c r="A7" s="166" t="s">
        <v>4</v>
      </c>
      <c r="B7" s="169">
        <f>157386+4976+3530</f>
        <v>165892</v>
      </c>
      <c r="C7" s="156">
        <f>48335+2200</f>
        <v>50535</v>
      </c>
      <c r="D7" s="157">
        <f>B7+C7</f>
        <v>216427</v>
      </c>
      <c r="E7" s="10"/>
      <c r="F7" s="17" t="s">
        <v>47</v>
      </c>
      <c r="G7" s="33">
        <f>+'RH MENSUAL 2023'!G9+'RH MENSUAL 2023'!G45/2</f>
        <v>222211</v>
      </c>
      <c r="H7" s="19" t="s">
        <v>48</v>
      </c>
      <c r="I7" s="18">
        <f>+'RH MENSUAL 2023'!J9+'RH MENSUAL 2023'!J45/2</f>
        <v>94740</v>
      </c>
      <c r="J7" s="192">
        <f>+I7+I8+I10+G7+G8+G10+G9+I9</f>
        <v>334150</v>
      </c>
      <c r="L7" s="191">
        <f>+(I7+I8+I9+I10)/J7</f>
        <v>0.29807272183151279</v>
      </c>
      <c r="M7" s="191">
        <f>+(+I7+I8+I9+I10)/$I$44</f>
        <v>0.28307882074412605</v>
      </c>
      <c r="N7" s="191">
        <f>+(+I7+I8+I9+I10)/$J$44</f>
        <v>7.2607599956552513E-2</v>
      </c>
    </row>
    <row r="8" spans="1:16" ht="24.95" customHeight="1" x14ac:dyDescent="0.2">
      <c r="A8" s="166"/>
      <c r="B8" s="169"/>
      <c r="C8" s="156"/>
      <c r="D8" s="157"/>
      <c r="E8" s="10"/>
      <c r="F8" s="17" t="s">
        <v>49</v>
      </c>
      <c r="G8" s="33">
        <f>+'RH MENSUAL 2023'!G10</f>
        <v>5094</v>
      </c>
      <c r="H8" s="19" t="s">
        <v>50</v>
      </c>
      <c r="I8" s="18">
        <f>+'RH MENSUAL 2023'!J10</f>
        <v>1399</v>
      </c>
      <c r="J8" s="192"/>
      <c r="L8" s="191"/>
      <c r="M8" s="191"/>
      <c r="N8" s="191"/>
    </row>
    <row r="9" spans="1:16" ht="24.95" customHeight="1" x14ac:dyDescent="0.2">
      <c r="A9" s="166"/>
      <c r="B9" s="169"/>
      <c r="C9" s="156"/>
      <c r="D9" s="157"/>
      <c r="E9" s="10"/>
      <c r="F9" s="17" t="s">
        <v>147</v>
      </c>
      <c r="G9" s="33">
        <f>+'RH MENSUAL 2023'!G11</f>
        <v>3068</v>
      </c>
      <c r="H9" s="19" t="s">
        <v>146</v>
      </c>
      <c r="I9" s="18">
        <f>+'RH MENSUAL 2023'!J11</f>
        <v>462</v>
      </c>
      <c r="J9" s="192"/>
      <c r="L9" s="191"/>
      <c r="M9" s="191"/>
      <c r="N9" s="191"/>
      <c r="P9" s="2"/>
    </row>
    <row r="10" spans="1:16" ht="24.95" customHeight="1" x14ac:dyDescent="0.2">
      <c r="A10" s="166"/>
      <c r="B10" s="169"/>
      <c r="C10" s="156"/>
      <c r="D10" s="157"/>
      <c r="E10" s="10"/>
      <c r="F10" s="17" t="s">
        <v>75</v>
      </c>
      <c r="G10" s="33">
        <f>+'RH MENSUAL 2023'!G12</f>
        <v>4176</v>
      </c>
      <c r="H10" s="19" t="s">
        <v>76</v>
      </c>
      <c r="I10" s="18">
        <f>+'RH MENSUAL 2023'!J12</f>
        <v>3000</v>
      </c>
      <c r="J10" s="192"/>
      <c r="L10" s="191"/>
      <c r="M10" s="191"/>
      <c r="N10" s="191"/>
    </row>
    <row r="11" spans="1:16" ht="24.95" customHeight="1" x14ac:dyDescent="0.2">
      <c r="A11" s="6" t="s">
        <v>5</v>
      </c>
      <c r="B11" s="7">
        <v>4995</v>
      </c>
      <c r="C11" s="8">
        <v>727</v>
      </c>
      <c r="D11" s="9">
        <f t="shared" ref="D11:D42" si="0">B11+C11</f>
        <v>5722</v>
      </c>
      <c r="E11" s="10"/>
      <c r="F11" s="17" t="s">
        <v>51</v>
      </c>
      <c r="G11" s="33">
        <f>+'RH MENSUAL 2023'!G13</f>
        <v>4395</v>
      </c>
      <c r="H11" s="19" t="s">
        <v>52</v>
      </c>
      <c r="I11" s="18">
        <f>+'RH MENSUAL 2023'!J13</f>
        <v>1603</v>
      </c>
      <c r="J11" s="60">
        <f>+G11+I11</f>
        <v>5998</v>
      </c>
      <c r="L11" s="93">
        <f t="shared" ref="L11:L42" si="1">+I11/J11</f>
        <v>0.26725575191730577</v>
      </c>
      <c r="M11" s="93">
        <f t="shared" ref="M11:M26" si="2">+I11/$I$44</f>
        <v>4.5559316638671705E-3</v>
      </c>
      <c r="N11" s="93">
        <f t="shared" ref="N11:N26" si="3">+I11/$J$44</f>
        <v>1.1685623912446028E-3</v>
      </c>
    </row>
    <row r="12" spans="1:16" ht="24.95" customHeight="1" x14ac:dyDescent="0.2">
      <c r="A12" s="6" t="s">
        <v>6</v>
      </c>
      <c r="B12" s="7">
        <v>3393</v>
      </c>
      <c r="C12" s="8">
        <v>1310</v>
      </c>
      <c r="D12" s="9">
        <f t="shared" si="0"/>
        <v>4703</v>
      </c>
      <c r="E12" s="10"/>
      <c r="F12" s="17" t="s">
        <v>55</v>
      </c>
      <c r="G12" s="33">
        <f>+'RH MENSUAL 2023'!G14</f>
        <v>2930</v>
      </c>
      <c r="H12" s="19" t="s">
        <v>56</v>
      </c>
      <c r="I12" s="18">
        <f>+'RH MENSUAL 2023'!J14</f>
        <v>1773</v>
      </c>
      <c r="J12" s="60">
        <f t="shared" ref="J12:J26" si="4">+G12+I12</f>
        <v>4703</v>
      </c>
      <c r="L12" s="93">
        <f t="shared" si="1"/>
        <v>0.37699340846268337</v>
      </c>
      <c r="M12" s="93">
        <f t="shared" si="2"/>
        <v>5.0390934747576374E-3</v>
      </c>
      <c r="N12" s="93">
        <f t="shared" si="3"/>
        <v>1.2924897814576924E-3</v>
      </c>
    </row>
    <row r="13" spans="1:16" ht="24.95" customHeight="1" x14ac:dyDescent="0.2">
      <c r="A13" s="6" t="s">
        <v>7</v>
      </c>
      <c r="B13" s="7">
        <v>4195</v>
      </c>
      <c r="C13" s="8">
        <v>201</v>
      </c>
      <c r="D13" s="9">
        <f t="shared" si="0"/>
        <v>4396</v>
      </c>
      <c r="E13" s="10"/>
      <c r="F13" s="17" t="s">
        <v>57</v>
      </c>
      <c r="G13" s="33">
        <f>+'RH MENSUAL 2023'!G15</f>
        <v>3395</v>
      </c>
      <c r="H13" s="19" t="s">
        <v>58</v>
      </c>
      <c r="I13" s="18">
        <f>+'RH MENSUAL 2023'!J15</f>
        <v>1001</v>
      </c>
      <c r="J13" s="60">
        <f t="shared" si="4"/>
        <v>4396</v>
      </c>
      <c r="L13" s="93">
        <f t="shared" si="1"/>
        <v>0.22770700636942676</v>
      </c>
      <c r="M13" s="93">
        <f t="shared" si="2"/>
        <v>2.8449704276550451E-3</v>
      </c>
      <c r="N13" s="93">
        <f t="shared" si="3"/>
        <v>7.2971363296060352E-4</v>
      </c>
    </row>
    <row r="14" spans="1:16" ht="24.95" customHeight="1" x14ac:dyDescent="0.2">
      <c r="A14" s="6" t="s">
        <v>8</v>
      </c>
      <c r="B14" s="7">
        <v>2572</v>
      </c>
      <c r="C14" s="8">
        <v>439</v>
      </c>
      <c r="D14" s="9">
        <f t="shared" si="0"/>
        <v>3011</v>
      </c>
      <c r="E14" s="10"/>
      <c r="F14" s="17" t="s">
        <v>59</v>
      </c>
      <c r="G14" s="33">
        <f>+'RH MENSUAL 2023'!G16</f>
        <v>2200</v>
      </c>
      <c r="H14" s="19" t="s">
        <v>60</v>
      </c>
      <c r="I14" s="18">
        <f>+'RH MENSUAL 2023'!J16</f>
        <v>811</v>
      </c>
      <c r="J14" s="60">
        <f t="shared" si="4"/>
        <v>3011</v>
      </c>
      <c r="L14" s="93">
        <f t="shared" si="1"/>
        <v>0.26934573231484554</v>
      </c>
      <c r="M14" s="93">
        <f t="shared" si="2"/>
        <v>2.3049660507774641E-3</v>
      </c>
      <c r="N14" s="93">
        <f t="shared" si="3"/>
        <v>5.9120654978126819E-4</v>
      </c>
    </row>
    <row r="15" spans="1:16" ht="24.95" customHeight="1" x14ac:dyDescent="0.2">
      <c r="A15" s="6" t="s">
        <v>9</v>
      </c>
      <c r="B15" s="7">
        <v>2998</v>
      </c>
      <c r="C15" s="8">
        <v>200</v>
      </c>
      <c r="D15" s="9">
        <f t="shared" si="0"/>
        <v>3198</v>
      </c>
      <c r="E15" s="10"/>
      <c r="F15" s="17" t="s">
        <v>61</v>
      </c>
      <c r="G15" s="33">
        <f>+'RH MENSUAL 2023'!G17</f>
        <v>2398</v>
      </c>
      <c r="H15" s="19" t="s">
        <v>62</v>
      </c>
      <c r="I15" s="18">
        <f>+'RH MENSUAL 2023'!J17</f>
        <v>800</v>
      </c>
      <c r="J15" s="60">
        <f t="shared" si="4"/>
        <v>3198</v>
      </c>
      <c r="L15" s="93">
        <f t="shared" si="1"/>
        <v>0.25015634771732331</v>
      </c>
      <c r="M15" s="93">
        <f t="shared" si="2"/>
        <v>2.2737026394845515E-3</v>
      </c>
      <c r="N15" s="93">
        <f t="shared" si="3"/>
        <v>5.8318771864983299E-4</v>
      </c>
    </row>
    <row r="16" spans="1:16" ht="24.95" customHeight="1" x14ac:dyDescent="0.2">
      <c r="A16" s="6" t="s">
        <v>10</v>
      </c>
      <c r="B16" s="7">
        <v>8972</v>
      </c>
      <c r="C16" s="8">
        <v>2165</v>
      </c>
      <c r="D16" s="9">
        <f t="shared" si="0"/>
        <v>11137</v>
      </c>
      <c r="E16" s="10"/>
      <c r="F16" s="17" t="s">
        <v>63</v>
      </c>
      <c r="G16" s="33">
        <f>+'RH MENSUAL 2023'!G18</f>
        <v>7508</v>
      </c>
      <c r="H16" s="19" t="s">
        <v>64</v>
      </c>
      <c r="I16" s="18">
        <f>+'RH MENSUAL 2023'!J18</f>
        <v>3768</v>
      </c>
      <c r="J16" s="60">
        <f t="shared" si="4"/>
        <v>11276</v>
      </c>
      <c r="L16" s="93">
        <f t="shared" si="1"/>
        <v>0.33416105001773677</v>
      </c>
      <c r="M16" s="93">
        <f t="shared" si="2"/>
        <v>1.0709139431972239E-2</v>
      </c>
      <c r="N16" s="93">
        <f t="shared" si="3"/>
        <v>2.7468141548407134E-3</v>
      </c>
    </row>
    <row r="17" spans="1:14" ht="24.95" customHeight="1" x14ac:dyDescent="0.2">
      <c r="A17" s="6" t="s">
        <v>11</v>
      </c>
      <c r="B17" s="7">
        <v>4145</v>
      </c>
      <c r="C17" s="8">
        <v>138</v>
      </c>
      <c r="D17" s="9">
        <f t="shared" si="0"/>
        <v>4283</v>
      </c>
      <c r="E17" s="10"/>
      <c r="F17" s="17" t="s">
        <v>65</v>
      </c>
      <c r="G17" s="33">
        <f>+'RH MENSUAL 2023'!G19</f>
        <v>3483</v>
      </c>
      <c r="H17" s="19" t="s">
        <v>66</v>
      </c>
      <c r="I17" s="18">
        <f>+'RH MENSUAL 2023'!J19</f>
        <v>800</v>
      </c>
      <c r="J17" s="60">
        <f t="shared" si="4"/>
        <v>4283</v>
      </c>
      <c r="L17" s="93">
        <f t="shared" si="1"/>
        <v>0.18678496381041326</v>
      </c>
      <c r="M17" s="93">
        <f t="shared" si="2"/>
        <v>2.2737026394845515E-3</v>
      </c>
      <c r="N17" s="93">
        <f t="shared" si="3"/>
        <v>5.8318771864983299E-4</v>
      </c>
    </row>
    <row r="18" spans="1:14" ht="24.95" customHeight="1" x14ac:dyDescent="0.2">
      <c r="A18" s="6" t="s">
        <v>12</v>
      </c>
      <c r="B18" s="7">
        <v>4180</v>
      </c>
      <c r="C18" s="8">
        <v>400</v>
      </c>
      <c r="D18" s="9">
        <f t="shared" si="0"/>
        <v>4580</v>
      </c>
      <c r="E18" s="10"/>
      <c r="F18" s="17" t="s">
        <v>67</v>
      </c>
      <c r="G18" s="33">
        <f>+'RH MENSUAL 2023'!G20</f>
        <v>3386</v>
      </c>
      <c r="H18" s="19" t="s">
        <v>68</v>
      </c>
      <c r="I18" s="18">
        <f>+'RH MENSUAL 2023'!J20</f>
        <v>1256</v>
      </c>
      <c r="J18" s="60">
        <f t="shared" si="4"/>
        <v>4642</v>
      </c>
      <c r="L18" s="93">
        <f t="shared" si="1"/>
        <v>0.27057302886686774</v>
      </c>
      <c r="M18" s="93">
        <f t="shared" si="2"/>
        <v>3.5697131439907459E-3</v>
      </c>
      <c r="N18" s="93">
        <f t="shared" si="3"/>
        <v>9.1560471828023779E-4</v>
      </c>
    </row>
    <row r="19" spans="1:14" ht="24.95" customHeight="1" x14ac:dyDescent="0.2">
      <c r="A19" s="6" t="s">
        <v>13</v>
      </c>
      <c r="B19" s="7">
        <v>5787</v>
      </c>
      <c r="C19" s="8">
        <v>968</v>
      </c>
      <c r="D19" s="9">
        <f t="shared" si="0"/>
        <v>6755</v>
      </c>
      <c r="E19" s="10"/>
      <c r="F19" s="17" t="s">
        <v>69</v>
      </c>
      <c r="G19" s="33">
        <f>+'RH MENSUAL 2023'!G21</f>
        <v>4791</v>
      </c>
      <c r="H19" s="19" t="s">
        <v>70</v>
      </c>
      <c r="I19" s="18">
        <f>+'RH MENSUAL 2023'!J21</f>
        <v>2042</v>
      </c>
      <c r="J19" s="60">
        <f t="shared" si="4"/>
        <v>6833</v>
      </c>
      <c r="L19" s="93">
        <f t="shared" si="1"/>
        <v>0.29884384604127029</v>
      </c>
      <c r="M19" s="93">
        <f t="shared" si="2"/>
        <v>5.8036259872843183E-3</v>
      </c>
      <c r="N19" s="93">
        <f t="shared" si="3"/>
        <v>1.4885866518536987E-3</v>
      </c>
    </row>
    <row r="20" spans="1:14" ht="24.95" customHeight="1" x14ac:dyDescent="0.2">
      <c r="A20" s="6" t="s">
        <v>14</v>
      </c>
      <c r="B20" s="7">
        <v>17139</v>
      </c>
      <c r="C20" s="8">
        <v>4797</v>
      </c>
      <c r="D20" s="9">
        <f t="shared" si="0"/>
        <v>21936</v>
      </c>
      <c r="E20" s="10"/>
      <c r="F20" s="17" t="s">
        <v>71</v>
      </c>
      <c r="G20" s="33">
        <f>+'RH MENSUAL 2023'!G22</f>
        <v>14342</v>
      </c>
      <c r="H20" s="19" t="s">
        <v>72</v>
      </c>
      <c r="I20" s="18">
        <f>+'RH MENSUAL 2023'!J22</f>
        <v>8394</v>
      </c>
      <c r="J20" s="60">
        <f t="shared" si="4"/>
        <v>22736</v>
      </c>
      <c r="L20" s="93">
        <f t="shared" si="1"/>
        <v>0.3691942294159043</v>
      </c>
      <c r="M20" s="93">
        <f t="shared" si="2"/>
        <v>2.3856824944791657E-2</v>
      </c>
      <c r="N20" s="93">
        <f t="shared" si="3"/>
        <v>6.1190971379333726E-3</v>
      </c>
    </row>
    <row r="21" spans="1:14" ht="24.95" customHeight="1" x14ac:dyDescent="0.2">
      <c r="A21" s="6" t="s">
        <v>15</v>
      </c>
      <c r="B21" s="7">
        <v>22192</v>
      </c>
      <c r="C21" s="8">
        <v>4406</v>
      </c>
      <c r="D21" s="9">
        <f t="shared" si="0"/>
        <v>26598</v>
      </c>
      <c r="E21" s="10"/>
      <c r="F21" s="17" t="s">
        <v>73</v>
      </c>
      <c r="G21" s="33">
        <f>+'RH MENSUAL 2023'!G23</f>
        <v>18180</v>
      </c>
      <c r="H21" s="19" t="s">
        <v>74</v>
      </c>
      <c r="I21" s="18">
        <f>+'RH MENSUAL 2023'!J23</f>
        <v>8518</v>
      </c>
      <c r="J21" s="60">
        <f t="shared" si="4"/>
        <v>26698</v>
      </c>
      <c r="L21" s="93">
        <f t="shared" si="1"/>
        <v>0.31905011611356654</v>
      </c>
      <c r="M21" s="93">
        <f t="shared" si="2"/>
        <v>2.4209248853911763E-2</v>
      </c>
      <c r="N21" s="93">
        <f t="shared" si="3"/>
        <v>6.2094912343240967E-3</v>
      </c>
    </row>
    <row r="22" spans="1:14" ht="24.95" customHeight="1" x14ac:dyDescent="0.2">
      <c r="A22" s="6" t="s">
        <v>16</v>
      </c>
      <c r="B22" s="7">
        <v>15399</v>
      </c>
      <c r="C22" s="8">
        <v>3400</v>
      </c>
      <c r="D22" s="9">
        <f t="shared" si="0"/>
        <v>18799</v>
      </c>
      <c r="E22" s="10"/>
      <c r="F22" s="17" t="s">
        <v>77</v>
      </c>
      <c r="G22" s="33">
        <f>+'RH MENSUAL 2023'!G24</f>
        <v>13399</v>
      </c>
      <c r="H22" s="19" t="s">
        <v>78</v>
      </c>
      <c r="I22" s="18">
        <f>+'RH MENSUAL 2023'!J24</f>
        <v>6200</v>
      </c>
      <c r="J22" s="60">
        <f t="shared" si="4"/>
        <v>19599</v>
      </c>
      <c r="L22" s="93">
        <f t="shared" si="1"/>
        <v>0.31634267054441551</v>
      </c>
      <c r="M22" s="93">
        <f t="shared" si="2"/>
        <v>1.7621195456005274E-2</v>
      </c>
      <c r="N22" s="93">
        <f t="shared" si="3"/>
        <v>4.5197048195362056E-3</v>
      </c>
    </row>
    <row r="23" spans="1:14" ht="24.95" customHeight="1" x14ac:dyDescent="0.2">
      <c r="A23" s="6" t="s">
        <v>17</v>
      </c>
      <c r="B23" s="7">
        <v>32788</v>
      </c>
      <c r="C23" s="8">
        <v>0</v>
      </c>
      <c r="D23" s="9">
        <f t="shared" si="0"/>
        <v>32788</v>
      </c>
      <c r="E23" s="10"/>
      <c r="F23" s="17" t="s">
        <v>79</v>
      </c>
      <c r="G23" s="33">
        <f>+'RH MENSUAL 2023'!G25</f>
        <v>25585</v>
      </c>
      <c r="H23" s="19" t="s">
        <v>80</v>
      </c>
      <c r="I23" s="18">
        <f>+'RH MENSUAL 2023'!J25</f>
        <v>7203</v>
      </c>
      <c r="J23" s="60">
        <f t="shared" si="4"/>
        <v>32788</v>
      </c>
      <c r="L23" s="93">
        <f t="shared" si="1"/>
        <v>0.21968403074295473</v>
      </c>
      <c r="M23" s="93">
        <f t="shared" si="2"/>
        <v>2.047185014025903E-2</v>
      </c>
      <c r="N23" s="93">
        <f t="shared" si="3"/>
        <v>5.2508764217934333E-3</v>
      </c>
    </row>
    <row r="24" spans="1:14" ht="24.95" customHeight="1" x14ac:dyDescent="0.2">
      <c r="A24" s="6" t="s">
        <v>18</v>
      </c>
      <c r="B24" s="7">
        <v>200</v>
      </c>
      <c r="C24" s="8">
        <v>0</v>
      </c>
      <c r="D24" s="9">
        <f t="shared" si="0"/>
        <v>200</v>
      </c>
      <c r="E24" s="10"/>
      <c r="F24" s="17" t="s">
        <v>81</v>
      </c>
      <c r="G24" s="33">
        <f>+'RH MENSUAL 2023'!G26</f>
        <v>0</v>
      </c>
      <c r="H24" s="19" t="s">
        <v>82</v>
      </c>
      <c r="I24" s="18">
        <f>+'RH MENSUAL 2023'!J26</f>
        <v>200</v>
      </c>
      <c r="J24" s="60">
        <f t="shared" si="4"/>
        <v>200</v>
      </c>
      <c r="L24" s="93">
        <f t="shared" si="1"/>
        <v>1</v>
      </c>
      <c r="M24" s="93">
        <f t="shared" si="2"/>
        <v>5.6842565987113788E-4</v>
      </c>
      <c r="N24" s="93">
        <f t="shared" si="3"/>
        <v>1.4579692966245825E-4</v>
      </c>
    </row>
    <row r="25" spans="1:14" ht="24.95" customHeight="1" x14ac:dyDescent="0.2">
      <c r="A25" s="6" t="s">
        <v>19</v>
      </c>
      <c r="B25" s="7">
        <v>3121</v>
      </c>
      <c r="C25" s="8">
        <v>2199</v>
      </c>
      <c r="D25" s="9">
        <f t="shared" si="0"/>
        <v>5320</v>
      </c>
      <c r="E25" s="10"/>
      <c r="F25" s="17" t="s">
        <v>83</v>
      </c>
      <c r="G25" s="33">
        <f>+'RH MENSUAL 2023'!G27</f>
        <v>5120</v>
      </c>
      <c r="H25" s="19" t="s">
        <v>84</v>
      </c>
      <c r="I25" s="18">
        <f>+'RH MENSUAL 2023'!J27</f>
        <v>200</v>
      </c>
      <c r="J25" s="60">
        <f t="shared" si="4"/>
        <v>5320</v>
      </c>
      <c r="L25" s="93">
        <f t="shared" si="1"/>
        <v>3.7593984962406013E-2</v>
      </c>
      <c r="M25" s="93">
        <f t="shared" si="2"/>
        <v>5.6842565987113788E-4</v>
      </c>
      <c r="N25" s="93">
        <f t="shared" si="3"/>
        <v>1.4579692966245825E-4</v>
      </c>
    </row>
    <row r="26" spans="1:14" ht="24.95" customHeight="1" x14ac:dyDescent="0.2">
      <c r="A26" s="6" t="s">
        <v>20</v>
      </c>
      <c r="B26" s="7">
        <v>2600</v>
      </c>
      <c r="C26" s="8">
        <v>600</v>
      </c>
      <c r="D26" s="9">
        <f t="shared" si="0"/>
        <v>3200</v>
      </c>
      <c r="E26" s="10"/>
      <c r="F26" s="17" t="s">
        <v>85</v>
      </c>
      <c r="G26" s="33">
        <f>+'RH MENSUAL 2023'!G28</f>
        <v>2200</v>
      </c>
      <c r="H26" s="19" t="s">
        <v>86</v>
      </c>
      <c r="I26" s="18">
        <f>+'RH MENSUAL 2023'!J28</f>
        <v>1000</v>
      </c>
      <c r="J26" s="60">
        <f t="shared" si="4"/>
        <v>3200</v>
      </c>
      <c r="L26" s="93">
        <f t="shared" si="1"/>
        <v>0.3125</v>
      </c>
      <c r="M26" s="93">
        <f t="shared" si="2"/>
        <v>2.8421282993556897E-3</v>
      </c>
      <c r="N26" s="93">
        <f t="shared" si="3"/>
        <v>7.2898464831229123E-4</v>
      </c>
    </row>
    <row r="27" spans="1:14" ht="24.95" customHeight="1" x14ac:dyDescent="0.2">
      <c r="A27" s="166" t="s">
        <v>21</v>
      </c>
      <c r="B27" s="164">
        <f>44507+800+7399</f>
        <v>52706</v>
      </c>
      <c r="C27" s="165">
        <f>10399+800</f>
        <v>11199</v>
      </c>
      <c r="D27" s="157">
        <f t="shared" si="0"/>
        <v>63905</v>
      </c>
      <c r="E27" s="10"/>
      <c r="F27" s="17" t="s">
        <v>87</v>
      </c>
      <c r="G27" s="33">
        <f>+'RH MENSUAL 2023'!G29</f>
        <v>36535</v>
      </c>
      <c r="H27" s="19" t="s">
        <v>88</v>
      </c>
      <c r="I27" s="18">
        <f>+'RH MENSUAL 2023'!J29</f>
        <v>18379</v>
      </c>
      <c r="J27" s="192">
        <f>+G27+I27+G28+I28+G29+I29+G30+I30</f>
        <v>64305</v>
      </c>
      <c r="L27" s="191">
        <f>+(+I27+I28+I29+I30)/J27</f>
        <v>0.31988181323380765</v>
      </c>
      <c r="M27" s="191">
        <f>+(+I27+I28+I29+I30)/$I$44</f>
        <v>5.8462579117746535E-2</v>
      </c>
      <c r="N27" s="191">
        <f>+(+I27+I28+I29+I30)/$J$44</f>
        <v>1.499521421578383E-2</v>
      </c>
    </row>
    <row r="28" spans="1:14" ht="24.95" customHeight="1" x14ac:dyDescent="0.2">
      <c r="A28" s="166"/>
      <c r="B28" s="164"/>
      <c r="C28" s="165"/>
      <c r="D28" s="157"/>
      <c r="E28" s="10"/>
      <c r="F28" s="17" t="s">
        <v>53</v>
      </c>
      <c r="G28" s="33">
        <f>+'RH MENSUAL 2023'!G30</f>
        <v>800</v>
      </c>
      <c r="H28" s="19" t="s">
        <v>54</v>
      </c>
      <c r="I28" s="18">
        <f>+'RH MENSUAL 2023'!J30</f>
        <v>0</v>
      </c>
      <c r="J28" s="192"/>
      <c r="L28" s="191"/>
      <c r="M28" s="191"/>
      <c r="N28" s="191"/>
    </row>
    <row r="29" spans="1:14" ht="24.95" customHeight="1" x14ac:dyDescent="0.2">
      <c r="A29" s="166"/>
      <c r="B29" s="164"/>
      <c r="C29" s="165"/>
      <c r="D29" s="157"/>
      <c r="E29" s="10"/>
      <c r="F29" s="17" t="s">
        <v>99</v>
      </c>
      <c r="G29" s="33">
        <f>+'RH MENSUAL 2023'!G31</f>
        <v>6200</v>
      </c>
      <c r="H29" s="19" t="s">
        <v>100</v>
      </c>
      <c r="I29" s="18">
        <f>+'RH MENSUAL 2023'!J31</f>
        <v>1999</v>
      </c>
      <c r="J29" s="192"/>
      <c r="L29" s="191"/>
      <c r="M29" s="191"/>
      <c r="N29" s="191"/>
    </row>
    <row r="30" spans="1:14" ht="24.95" customHeight="1" x14ac:dyDescent="0.2">
      <c r="A30" s="166"/>
      <c r="B30" s="164"/>
      <c r="C30" s="165"/>
      <c r="D30" s="157"/>
      <c r="E30" s="10"/>
      <c r="F30" s="17" t="s">
        <v>89</v>
      </c>
      <c r="G30" s="33">
        <f>+'RH MENSUAL 2023'!G32</f>
        <v>200</v>
      </c>
      <c r="H30" s="19" t="s">
        <v>90</v>
      </c>
      <c r="I30" s="18">
        <f>+'RH MENSUAL 2023'!J32</f>
        <v>192</v>
      </c>
      <c r="J30" s="192"/>
      <c r="L30" s="191"/>
      <c r="M30" s="191"/>
      <c r="N30" s="191"/>
    </row>
    <row r="31" spans="1:14" ht="24.95" customHeight="1" x14ac:dyDescent="0.2">
      <c r="A31" s="6" t="s">
        <v>22</v>
      </c>
      <c r="B31" s="7">
        <v>0</v>
      </c>
      <c r="C31" s="8">
        <v>2392</v>
      </c>
      <c r="D31" s="9">
        <f t="shared" si="0"/>
        <v>2392</v>
      </c>
      <c r="E31" s="10"/>
      <c r="F31" s="17"/>
      <c r="G31" s="33">
        <f>+'RH MENSUAL 2023'!G33</f>
        <v>144</v>
      </c>
      <c r="H31" s="19" t="s">
        <v>96</v>
      </c>
      <c r="I31" s="18">
        <f>+'RH MENSUAL 2023'!J33</f>
        <v>2791</v>
      </c>
      <c r="J31" s="60">
        <f>+G31+I31</f>
        <v>2935</v>
      </c>
      <c r="L31" s="93">
        <f t="shared" si="1"/>
        <v>0.95093696763202729</v>
      </c>
      <c r="M31" s="93">
        <f>+I31/$I$44</f>
        <v>7.9323800835017291E-3</v>
      </c>
      <c r="N31" s="93">
        <f>+I31/$J$44</f>
        <v>2.0345961534396048E-3</v>
      </c>
    </row>
    <row r="32" spans="1:14" ht="24.95" customHeight="1" x14ac:dyDescent="0.2">
      <c r="A32" s="166" t="s">
        <v>23</v>
      </c>
      <c r="B32" s="164">
        <v>6137</v>
      </c>
      <c r="C32" s="165">
        <v>2838</v>
      </c>
      <c r="D32" s="157">
        <f t="shared" si="0"/>
        <v>8975</v>
      </c>
      <c r="E32" s="10"/>
      <c r="F32" s="17" t="s">
        <v>92</v>
      </c>
      <c r="G32" s="33">
        <f>+'RH MENSUAL 2023'!G34</f>
        <v>4555</v>
      </c>
      <c r="H32" s="19" t="s">
        <v>93</v>
      </c>
      <c r="I32" s="18">
        <f>+'RH MENSUAL 2023'!J34</f>
        <v>3982</v>
      </c>
      <c r="J32" s="192">
        <f>+G32+I32+G33+I33</f>
        <v>9937</v>
      </c>
      <c r="L32" s="191">
        <f>+(I32+I33)/J32</f>
        <v>0.42085136359062092</v>
      </c>
      <c r="M32" s="191">
        <f>+(I32+I33)/$I$44</f>
        <v>1.1885780547905494E-2</v>
      </c>
      <c r="N32" s="191">
        <f>+I33/$J$44</f>
        <v>1.4579692966245825E-4</v>
      </c>
    </row>
    <row r="33" spans="1:14" ht="24.95" customHeight="1" x14ac:dyDescent="0.2">
      <c r="A33" s="166"/>
      <c r="B33" s="164"/>
      <c r="C33" s="165"/>
      <c r="D33" s="157"/>
      <c r="E33" s="10"/>
      <c r="F33" s="17" t="s">
        <v>94</v>
      </c>
      <c r="G33" s="33">
        <f>+'RH MENSUAL 2023'!G35</f>
        <v>1200</v>
      </c>
      <c r="H33" s="19" t="s">
        <v>95</v>
      </c>
      <c r="I33" s="18">
        <f>+'RH MENSUAL 2023'!J35</f>
        <v>200</v>
      </c>
      <c r="J33" s="192"/>
      <c r="L33" s="191"/>
      <c r="M33" s="191"/>
      <c r="N33" s="191"/>
    </row>
    <row r="34" spans="1:14" ht="24.95" customHeight="1" x14ac:dyDescent="0.2">
      <c r="A34" s="6" t="s">
        <v>32</v>
      </c>
      <c r="B34" s="7">
        <v>4400</v>
      </c>
      <c r="C34" s="8">
        <v>2067</v>
      </c>
      <c r="D34" s="9">
        <f t="shared" si="0"/>
        <v>6467</v>
      </c>
      <c r="E34" s="10"/>
      <c r="F34" s="17" t="s">
        <v>32</v>
      </c>
      <c r="G34" s="33">
        <f>+'RH MENSUAL 2023'!G36</f>
        <v>5526</v>
      </c>
      <c r="H34" s="19" t="s">
        <v>91</v>
      </c>
      <c r="I34" s="18">
        <f>+'RH MENSUAL 2023'!J36</f>
        <v>2391</v>
      </c>
      <c r="J34" s="60">
        <f>+G34+I34</f>
        <v>7917</v>
      </c>
      <c r="L34" s="93">
        <f t="shared" si="1"/>
        <v>0.3020083364910951</v>
      </c>
      <c r="M34" s="93">
        <f t="shared" ref="M34:M42" si="5">+I34/$I$44</f>
        <v>6.7955287637594536E-3</v>
      </c>
      <c r="N34" s="93">
        <f t="shared" ref="N34:N42" si="6">+I34/$J$44</f>
        <v>1.7430022941146883E-3</v>
      </c>
    </row>
    <row r="35" spans="1:14" ht="24.95" customHeight="1" x14ac:dyDescent="0.2">
      <c r="A35" s="6" t="s">
        <v>24</v>
      </c>
      <c r="B35" s="7">
        <v>5359</v>
      </c>
      <c r="C35" s="8">
        <v>1394</v>
      </c>
      <c r="D35" s="9">
        <f t="shared" si="0"/>
        <v>6753</v>
      </c>
      <c r="E35" s="10"/>
      <c r="F35" s="17" t="s">
        <v>97</v>
      </c>
      <c r="G35" s="33">
        <f>+'RH MENSUAL 2023'!G37</f>
        <v>5359</v>
      </c>
      <c r="H35" s="19" t="s">
        <v>98</v>
      </c>
      <c r="I35" s="18">
        <f>+'RH MENSUAL 2023'!J37</f>
        <v>1597</v>
      </c>
      <c r="J35" s="60">
        <f t="shared" ref="J35:J42" si="7">+G35+I35</f>
        <v>6956</v>
      </c>
      <c r="L35" s="93">
        <f>+I35/J35</f>
        <v>0.22958596894767108</v>
      </c>
      <c r="M35" s="93">
        <f t="shared" si="5"/>
        <v>4.5388788940710365E-3</v>
      </c>
      <c r="N35" s="93">
        <f t="shared" si="6"/>
        <v>1.1641884833547291E-3</v>
      </c>
    </row>
    <row r="36" spans="1:14" ht="24.95" customHeight="1" x14ac:dyDescent="0.2">
      <c r="A36" s="6" t="s">
        <v>38</v>
      </c>
      <c r="B36" s="7">
        <v>79323</v>
      </c>
      <c r="C36" s="8">
        <v>600</v>
      </c>
      <c r="D36" s="9">
        <f t="shared" si="0"/>
        <v>79923</v>
      </c>
      <c r="E36" s="10"/>
      <c r="F36" s="17" t="s">
        <v>107</v>
      </c>
      <c r="G36" s="33">
        <f>+'RH MENSUAL 2023'!G38</f>
        <v>64522</v>
      </c>
      <c r="H36" s="19" t="s">
        <v>108</v>
      </c>
      <c r="I36" s="18">
        <f>+'RH MENSUAL 2023'!J38</f>
        <v>15401</v>
      </c>
      <c r="J36" s="60">
        <f t="shared" si="7"/>
        <v>79923</v>
      </c>
      <c r="L36" s="93">
        <f t="shared" si="1"/>
        <v>0.19269797179785544</v>
      </c>
      <c r="M36" s="93">
        <f t="shared" si="5"/>
        <v>4.3771617938376972E-2</v>
      </c>
      <c r="N36" s="93">
        <f t="shared" si="6"/>
        <v>1.1227092568657596E-2</v>
      </c>
    </row>
    <row r="37" spans="1:14" ht="24.95" customHeight="1" x14ac:dyDescent="0.2">
      <c r="A37" s="6" t="s">
        <v>25</v>
      </c>
      <c r="B37" s="7">
        <v>2571</v>
      </c>
      <c r="C37" s="8">
        <v>0</v>
      </c>
      <c r="D37" s="9">
        <f t="shared" si="0"/>
        <v>2571</v>
      </c>
      <c r="E37" s="10"/>
      <c r="F37" s="17" t="s">
        <v>101</v>
      </c>
      <c r="G37" s="33">
        <f>+'RH MENSUAL 2023'!G39</f>
        <v>2191</v>
      </c>
      <c r="H37" s="19" t="s">
        <v>102</v>
      </c>
      <c r="I37" s="18">
        <f>+'RH MENSUAL 2023'!J39</f>
        <v>380</v>
      </c>
      <c r="J37" s="60">
        <f t="shared" si="7"/>
        <v>2571</v>
      </c>
      <c r="L37" s="93">
        <f t="shared" si="1"/>
        <v>0.14780241151302995</v>
      </c>
      <c r="M37" s="93">
        <f t="shared" si="5"/>
        <v>1.0800087537551619E-3</v>
      </c>
      <c r="N37" s="93">
        <f t="shared" si="6"/>
        <v>2.7701416635867067E-4</v>
      </c>
    </row>
    <row r="38" spans="1:14" ht="24.95" customHeight="1" x14ac:dyDescent="0.2">
      <c r="A38" s="6" t="s">
        <v>26</v>
      </c>
      <c r="B38" s="7">
        <v>16515</v>
      </c>
      <c r="C38" s="8">
        <v>0</v>
      </c>
      <c r="D38" s="9">
        <f t="shared" si="0"/>
        <v>16515</v>
      </c>
      <c r="E38" s="10"/>
      <c r="F38" s="17" t="s">
        <v>103</v>
      </c>
      <c r="G38" s="33">
        <f>+'RH MENSUAL 2023'!G40</f>
        <v>13796</v>
      </c>
      <c r="H38" s="19" t="s">
        <v>104</v>
      </c>
      <c r="I38" s="18">
        <f>+'RH MENSUAL 2023'!J40</f>
        <v>3319</v>
      </c>
      <c r="J38" s="60">
        <f t="shared" si="7"/>
        <v>17115</v>
      </c>
      <c r="L38" s="93">
        <f t="shared" si="1"/>
        <v>0.19392345895413379</v>
      </c>
      <c r="M38" s="93">
        <f t="shared" si="5"/>
        <v>9.4330238255615328E-3</v>
      </c>
      <c r="N38" s="93">
        <f t="shared" si="6"/>
        <v>2.4195000477484946E-3</v>
      </c>
    </row>
    <row r="39" spans="1:14" ht="24.95" customHeight="1" x14ac:dyDescent="0.2">
      <c r="A39" s="6" t="s">
        <v>27</v>
      </c>
      <c r="B39" s="7">
        <v>1592</v>
      </c>
      <c r="C39" s="8">
        <v>0</v>
      </c>
      <c r="D39" s="9">
        <f t="shared" si="0"/>
        <v>1592</v>
      </c>
      <c r="E39" s="10"/>
      <c r="F39" s="17" t="s">
        <v>105</v>
      </c>
      <c r="G39" s="33">
        <f>+'RH MENSUAL 2023'!G41</f>
        <v>1592</v>
      </c>
      <c r="H39" s="19" t="s">
        <v>106</v>
      </c>
      <c r="I39" s="18">
        <f>+'RH MENSUAL 2023'!J41</f>
        <v>0</v>
      </c>
      <c r="J39" s="60">
        <f t="shared" si="7"/>
        <v>1592</v>
      </c>
      <c r="L39" s="93">
        <f t="shared" si="1"/>
        <v>0</v>
      </c>
      <c r="M39" s="93">
        <f t="shared" si="5"/>
        <v>0</v>
      </c>
      <c r="N39" s="93">
        <f t="shared" si="6"/>
        <v>0</v>
      </c>
    </row>
    <row r="40" spans="1:14" ht="24.95" customHeight="1" x14ac:dyDescent="0.2">
      <c r="A40" s="6" t="s">
        <v>28</v>
      </c>
      <c r="B40" s="7">
        <v>18645</v>
      </c>
      <c r="C40" s="8">
        <v>0</v>
      </c>
      <c r="D40" s="9">
        <f t="shared" si="0"/>
        <v>18645</v>
      </c>
      <c r="E40" s="10"/>
      <c r="F40" s="17" t="s">
        <v>109</v>
      </c>
      <c r="G40" s="33">
        <f>+'RH MENSUAL 2023'!G42</f>
        <v>15848</v>
      </c>
      <c r="H40" s="19" t="s">
        <v>110</v>
      </c>
      <c r="I40" s="18">
        <f>+'RH MENSUAL 2023'!J42</f>
        <v>2797</v>
      </c>
      <c r="J40" s="60">
        <f t="shared" si="7"/>
        <v>18645</v>
      </c>
      <c r="L40" s="93">
        <f t="shared" si="1"/>
        <v>0.15001340842048808</v>
      </c>
      <c r="M40" s="93">
        <f t="shared" si="5"/>
        <v>7.949432853297864E-3</v>
      </c>
      <c r="N40" s="93">
        <f t="shared" si="6"/>
        <v>2.0389700613294786E-3</v>
      </c>
    </row>
    <row r="41" spans="1:14" ht="24.95" customHeight="1" x14ac:dyDescent="0.2">
      <c r="A41" s="6" t="s">
        <v>29</v>
      </c>
      <c r="B41" s="7">
        <v>41790</v>
      </c>
      <c r="C41" s="8">
        <v>3400</v>
      </c>
      <c r="D41" s="9">
        <f t="shared" si="0"/>
        <v>45190</v>
      </c>
      <c r="E41" s="10"/>
      <c r="F41" s="17" t="s">
        <v>111</v>
      </c>
      <c r="G41" s="33">
        <f>+'RH MENSUAL 2023'!G43</f>
        <v>36790</v>
      </c>
      <c r="H41" s="19" t="s">
        <v>112</v>
      </c>
      <c r="I41" s="18">
        <f>+'RH MENSUAL 2023'!J43</f>
        <v>12000</v>
      </c>
      <c r="J41" s="60">
        <f t="shared" si="7"/>
        <v>48790</v>
      </c>
      <c r="L41" s="93">
        <f t="shared" si="1"/>
        <v>0.24595203935232629</v>
      </c>
      <c r="M41" s="93">
        <f t="shared" si="5"/>
        <v>3.4105539592268273E-2</v>
      </c>
      <c r="N41" s="93">
        <f t="shared" si="6"/>
        <v>8.7478157797474948E-3</v>
      </c>
    </row>
    <row r="42" spans="1:14" ht="24.95" customHeight="1" thickBot="1" x14ac:dyDescent="0.25">
      <c r="A42" s="6" t="s">
        <v>31</v>
      </c>
      <c r="B42" s="7">
        <v>374240</v>
      </c>
      <c r="C42" s="8">
        <v>4336</v>
      </c>
      <c r="D42" s="9">
        <f t="shared" si="0"/>
        <v>378576</v>
      </c>
      <c r="E42" s="10"/>
      <c r="F42" s="17" t="s">
        <v>115</v>
      </c>
      <c r="G42" s="33">
        <f>+'RH MENSUAL 2023'!G44</f>
        <v>304640</v>
      </c>
      <c r="H42" s="19" t="s">
        <v>116</v>
      </c>
      <c r="I42" s="18">
        <f>+'RH MENSUAL 2023'!J44</f>
        <v>74770</v>
      </c>
      <c r="J42" s="61">
        <f t="shared" si="7"/>
        <v>379410</v>
      </c>
      <c r="L42" s="93">
        <f t="shared" si="1"/>
        <v>0.19706913365488521</v>
      </c>
      <c r="M42" s="93">
        <f t="shared" si="5"/>
        <v>0.21250593294282491</v>
      </c>
      <c r="N42" s="93">
        <f t="shared" si="6"/>
        <v>5.4506182154310009E-2</v>
      </c>
    </row>
    <row r="43" spans="1:14" ht="24.95" hidden="1" customHeight="1" thickBot="1" x14ac:dyDescent="0.25">
      <c r="A43" s="6" t="s">
        <v>127</v>
      </c>
      <c r="B43" s="7"/>
      <c r="C43" s="8"/>
      <c r="D43" s="41"/>
      <c r="E43" s="42"/>
      <c r="F43" s="7"/>
      <c r="G43" s="33"/>
      <c r="H43" s="20"/>
      <c r="I43" s="18"/>
      <c r="J43" s="61">
        <f>+G43+I43</f>
        <v>0</v>
      </c>
    </row>
    <row r="44" spans="1:14" ht="39.950000000000003" customHeight="1" x14ac:dyDescent="0.2">
      <c r="A44" s="21" t="s">
        <v>33</v>
      </c>
      <c r="B44" s="9">
        <f>SUM(B6:B42)</f>
        <v>1001974</v>
      </c>
      <c r="C44" s="9">
        <f>SUM(C6:C42)</f>
        <v>128792</v>
      </c>
      <c r="D44" s="9">
        <f>SUM(D6:D42)</f>
        <v>1130766</v>
      </c>
      <c r="E44" s="10"/>
      <c r="F44" s="21" t="s">
        <v>42</v>
      </c>
      <c r="G44" s="9">
        <f>SUM(G6:G43)</f>
        <v>1019922</v>
      </c>
      <c r="H44" s="21" t="s">
        <v>117</v>
      </c>
      <c r="I44" s="9">
        <f>SUM(I6:I43)</f>
        <v>351849</v>
      </c>
      <c r="J44" s="9">
        <f>SUM(J6:J43)</f>
        <v>1371771</v>
      </c>
      <c r="L44" s="94">
        <f>+I44/J44</f>
        <v>0.25649251952403135</v>
      </c>
      <c r="M44" s="94">
        <f t="shared" ref="M44" si="8">+I44/$I$44</f>
        <v>1</v>
      </c>
      <c r="N44" s="94">
        <f>+I44/$J$44</f>
        <v>0.25649251952403135</v>
      </c>
    </row>
    <row r="45" spans="1:14" ht="20.100000000000001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23"/>
    </row>
    <row r="46" spans="1:14" ht="20.100000000000001" customHeight="1" thickBot="1" x14ac:dyDescent="0.35">
      <c r="A46" s="194" t="s">
        <v>129</v>
      </c>
      <c r="B46" s="194"/>
      <c r="C46" s="194"/>
      <c r="D46" s="194"/>
      <c r="E46" s="194"/>
      <c r="F46" s="194"/>
      <c r="G46" s="194"/>
      <c r="H46" s="194"/>
      <c r="I46" s="194"/>
      <c r="J46" s="195"/>
    </row>
    <row r="47" spans="1:14" ht="24.95" customHeight="1" x14ac:dyDescent="0.2">
      <c r="A47" s="52" t="s">
        <v>30</v>
      </c>
      <c r="B47" s="53">
        <v>250091</v>
      </c>
      <c r="C47" s="54">
        <v>213356</v>
      </c>
      <c r="D47" s="9">
        <f>+C47-B47</f>
        <v>-36735</v>
      </c>
      <c r="E47" s="10"/>
      <c r="F47" s="55" t="s">
        <v>113</v>
      </c>
      <c r="G47" s="56">
        <f>+'RH MENSUAL 2023'!G49</f>
        <v>201411</v>
      </c>
      <c r="H47" s="58" t="s">
        <v>114</v>
      </c>
      <c r="I47" s="57">
        <f>+'RH MENSUAL 2023'!J49</f>
        <v>48680</v>
      </c>
      <c r="J47" s="59">
        <f>+G47+I47</f>
        <v>250091</v>
      </c>
    </row>
    <row r="48" spans="1:14" ht="24.95" customHeight="1" x14ac:dyDescent="0.2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34">
        <f>+'RH MENSUAL 2023'!G50</f>
        <v>20975</v>
      </c>
      <c r="H48" s="20"/>
      <c r="I48" s="8">
        <f>+'RH MENSUAL 2023'!J50</f>
        <v>0</v>
      </c>
      <c r="J48" s="60">
        <f>+G48+I48</f>
        <v>20975</v>
      </c>
    </row>
    <row r="49" spans="1:14" ht="24.95" customHeight="1" thickBot="1" x14ac:dyDescent="0.25">
      <c r="A49" s="28" t="s">
        <v>40</v>
      </c>
      <c r="B49" s="29"/>
      <c r="C49" s="30">
        <v>20100</v>
      </c>
      <c r="D49" s="41">
        <f>+C49</f>
        <v>20100</v>
      </c>
      <c r="E49" s="42"/>
      <c r="F49" s="7" t="s">
        <v>121</v>
      </c>
      <c r="G49" s="34">
        <f>+'RH MENSUAL 2023'!G51</f>
        <v>25600</v>
      </c>
      <c r="H49" s="20"/>
      <c r="I49" s="8">
        <f>+'RH MENSUAL 2023'!J51</f>
        <v>0</v>
      </c>
      <c r="J49" s="61">
        <f>+G49+I49</f>
        <v>25600</v>
      </c>
    </row>
    <row r="50" spans="1:14" ht="35.450000000000003" customHeight="1" x14ac:dyDescent="0.2">
      <c r="A50" s="43" t="s">
        <v>128</v>
      </c>
      <c r="D50" s="31"/>
      <c r="E50" s="10"/>
      <c r="F50" s="50" t="s">
        <v>113</v>
      </c>
      <c r="G50" s="9">
        <f>+G47-G48-G49</f>
        <v>154836</v>
      </c>
      <c r="H50" s="51" t="s">
        <v>114</v>
      </c>
      <c r="I50" s="9">
        <f>+I47-I48-I49</f>
        <v>48680</v>
      </c>
      <c r="J50" s="9">
        <f>+J47-J48-J49</f>
        <v>203516</v>
      </c>
    </row>
    <row r="51" spans="1:14" ht="20.100000000000001" customHeight="1" x14ac:dyDescent="0.2">
      <c r="A51" s="187"/>
      <c r="B51" s="186"/>
      <c r="C51" s="186"/>
      <c r="D51" s="186"/>
      <c r="E51" s="186"/>
      <c r="F51" s="186"/>
      <c r="G51" s="186"/>
      <c r="H51" s="186"/>
      <c r="I51" s="186"/>
      <c r="J51" s="186"/>
    </row>
    <row r="52" spans="1:14" ht="15" customHeight="1" x14ac:dyDescent="0.2">
      <c r="A52" s="186" t="s">
        <v>41</v>
      </c>
      <c r="B52" s="186"/>
      <c r="C52" s="186"/>
      <c r="D52" s="186"/>
      <c r="E52" s="186"/>
      <c r="F52" s="186"/>
      <c r="G52" s="186"/>
      <c r="H52" s="186"/>
      <c r="I52" s="186"/>
      <c r="J52" s="186"/>
    </row>
    <row r="53" spans="1:14" ht="15" x14ac:dyDescent="0.2">
      <c r="M53" s="172"/>
      <c r="N53" s="172"/>
    </row>
  </sheetData>
  <mergeCells count="31">
    <mergeCell ref="A2:N2"/>
    <mergeCell ref="L4:N4"/>
    <mergeCell ref="L7:L10"/>
    <mergeCell ref="M7:M10"/>
    <mergeCell ref="N7:N10"/>
    <mergeCell ref="A7:A10"/>
    <mergeCell ref="B7:B10"/>
    <mergeCell ref="C7:C10"/>
    <mergeCell ref="D7:D10"/>
    <mergeCell ref="J7:J10"/>
    <mergeCell ref="A32:A33"/>
    <mergeCell ref="B32:B33"/>
    <mergeCell ref="C32:C33"/>
    <mergeCell ref="D32:D33"/>
    <mergeCell ref="J32:J33"/>
    <mergeCell ref="M53:N53"/>
    <mergeCell ref="M32:M33"/>
    <mergeCell ref="J27:J30"/>
    <mergeCell ref="N32:N33"/>
    <mergeCell ref="D3:D5"/>
    <mergeCell ref="A46:J46"/>
    <mergeCell ref="A51:J51"/>
    <mergeCell ref="A52:J52"/>
    <mergeCell ref="M27:M30"/>
    <mergeCell ref="N27:N30"/>
    <mergeCell ref="A27:A30"/>
    <mergeCell ref="B27:B30"/>
    <mergeCell ref="C27:C30"/>
    <mergeCell ref="D27:D30"/>
    <mergeCell ref="L32:L33"/>
    <mergeCell ref="L27:L30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60" orientation="portrait" horizontalDpi="360" verticalDpi="360" r:id="rId1"/>
  <ignoredErrors>
    <ignoredError sqref="M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2023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2024-09-24T13:38:15Z</cp:lastPrinted>
  <dcterms:created xsi:type="dcterms:W3CDTF">2015-06-05T18:19:34Z</dcterms:created>
  <dcterms:modified xsi:type="dcterms:W3CDTF">2024-09-24T13:38:21Z</dcterms:modified>
</cp:coreProperties>
</file>